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Assumptions" sheetId="2" state="visible" r:id="rId4"/>
    <sheet name="Facilities" sheetId="3" state="visible" r:id="rId5"/>
    <sheet name="Districts" sheetId="4" state="visible" r:id="rId6"/>
    <sheet name="Ledger" sheetId="5" state="visible" r:id="rId7"/>
    <sheet name="Union Jobs" sheetId="6" state="visible" r:id="rId8"/>
    <sheet name="Sources" sheetId="7" state="visible" r:id="rId9"/>
    <sheet name="Citations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<sst xmlns="http://schemas.openxmlformats.org/spreadsheetml/2006/main" count="2903" uniqueCount="1409">
  <si>
    <t xml:space="preserve">Who Pays AZ — Arizona Data Center Model</t>
  </si>
  <si>
    <t xml:space="preserve">Companion workbook to the Who Pays AZ website. Built September 23, 2026.</t>
  </si>
  <si>
    <t xml:space="preserve">How it works</t>
  </si>
  <si>
    <t xml:space="preserve">Assumptions: every model parameter (central case) in blue. Change a blue cell and every facility, district and ledger figure recalculates.</t>
  </si>
  <si>
    <t xml:space="preserve">Facilities: one row per facility or campus. Blue columns are inputs from research (capacity, status, tax rates); black columns are formulas.</t>
  </si>
  <si>
    <t xml:space="preserve">Districts: jobs and taxes summed by 2022-2031 legislative district (facility location).</t>
  </si>
  <si>
    <t xml:space="preserve">Ledger: the Value Ledger — what data centers give (taxes) vs. take (tax exemption, water, grid cost shift), per Arizonan.</t>
  </si>
  <si>
    <t xml:space="preserve">Sources: source links for each facility record.</t>
  </si>
  <si>
    <t xml:space="preserve">Color key</t>
  </si>
  <si>
    <t xml:space="preserve">Blue text = hardcoded input or assumption. Black = formula. Green = pulled from another sheet. Yellow fill = key lever.</t>
  </si>
  <si>
    <t xml:space="preserve">Important caveats</t>
  </si>
  <si>
    <t xml:space="preserve">Capacities marked "Model estimate" in Facilities column F basis are imputed (floor area / 6,000 sq ft per MW, or investment / $12.6M per MW, or 2 MW for small sites).</t>
  </si>
  <si>
    <t xml:space="preserve">Operating campuses are scaled so statewide online IT load matches utility-reported data center load (Assumptions: Statewide IT MW online).</t>
  </si>
  <si>
    <t xml:space="preserve">Estimates are calculations from public sources, not official figures. Low/high parameter values are listed in Assumptions for sensitivity testing.</t>
  </si>
  <si>
    <t xml:space="preserve">Parameter</t>
  </si>
  <si>
    <t xml:space="preserve">Central (used)</t>
  </si>
  <si>
    <t xml:space="preserve">Low</t>
  </si>
  <si>
    <t xml:space="preserve">High</t>
  </si>
  <si>
    <t xml:space="preserve">Unit</t>
  </si>
  <si>
    <t xml:space="preserve">Source / note</t>
  </si>
  <si>
    <t xml:space="preserve">Building (shell + MEP) cost per MW</t>
  </si>
  <si>
    <t xml:space="preserve">$ per MW</t>
  </si>
  <si>
    <t xml:space="preserve">JLL Data Center Outlook 2026 ($11.3M shell &amp; core); Cushman &amp; Wakefield 2026 all-in $17.6M (high)</t>
  </si>
  <si>
    <t xml:space="preserve">IT equipment cost per MW</t>
  </si>
  <si>
    <t xml:space="preserve">Project Blue split ($2.4B equipment / 286 MW); JLL AI fit-out up to $25M (high)</t>
  </si>
  <si>
    <t xml:space="preserve">Construction job-years per $1M building cost</t>
  </si>
  <si>
    <t xml:space="preserve">job-years</t>
  </si>
  <si>
    <t xml:space="preserve">Project Blue: 3,000 jobs on $1.2B construction (~2.5); Mangum 2021 IMPLAN (high)</t>
  </si>
  <si>
    <t xml:space="preserve">Construction ripple jobs per direct job</t>
  </si>
  <si>
    <t xml:space="preserve">ratio</t>
  </si>
  <si>
    <t xml:space="preserve">Mangum Economics 2021 AZ study (1,470 / 2,020)</t>
  </si>
  <si>
    <t xml:space="preserve">Permanent jobs per MW — hyperscale / campuses &gt;=250 MW</t>
  </si>
  <si>
    <t xml:space="preserve">jobs/MW</t>
  </si>
  <si>
    <t xml:space="preserve">Project Blue 180 jobs / 286 MW</t>
  </si>
  <si>
    <t xml:space="preserve">Permanent jobs per MW — colocation</t>
  </si>
  <si>
    <t xml:space="preserve">Mangum 2021 AZ industry 1.75/MW; industry rules of thumb</t>
  </si>
  <si>
    <t xml:space="preserve">Operations ripple jobs per direct job</t>
  </si>
  <si>
    <t xml:space="preserve">PwC for Data Center Coalition 2026, AZ 2024 (38,930 / 20,640)</t>
  </si>
  <si>
    <t xml:space="preserve">Average on-site wage</t>
  </si>
  <si>
    <t xml:space="preserve">$ per year</t>
  </si>
  <si>
    <t xml:space="preserve">Project Blue $64K; BLS QCEW NAICS 518210 AZ 2025 $149,458 (high)</t>
  </si>
  <si>
    <t xml:space="preserve">Limited property value as share of building cost</t>
  </si>
  <si>
    <t xml:space="preserve">share</t>
  </si>
  <si>
    <t xml:space="preserve">model calibration to City of Mesa (Google, ~$58K/MW/yr) and Pima County (Project Blue, ~$53K/MW/yr)</t>
  </si>
  <si>
    <t xml:space="preserve">Class 1 assessment ratio (TY2026)</t>
  </si>
  <si>
    <t xml:space="preserve">A.R.S. 42-15001</t>
  </si>
  <si>
    <t xml:space="preserve">Business personal property valuation (share of cost)</t>
  </si>
  <si>
    <t xml:space="preserve">HB 2822 (2022): FCV = 2.5% of acquisition cost</t>
  </si>
  <si>
    <t xml:space="preserve">Average IT utilization</t>
  </si>
  <si>
    <t xml:space="preserve">model assumption</t>
  </si>
  <si>
    <t xml:space="preserve">Power usage effectiveness</t>
  </si>
  <si>
    <t xml:space="preserve">On-site water, liters per IT kWh</t>
  </si>
  <si>
    <t xml:space="preserve">L/kWh</t>
  </si>
  <si>
    <t xml:space="preserve">Calibrated to Circle of Blue 2025 (~2,777 AF statewide); LBNL US avg 0.36</t>
  </si>
  <si>
    <t xml:space="preserve">Statewide IT MW online now</t>
  </si>
  <si>
    <t xml:space="preserve">MW</t>
  </si>
  <si>
    <t xml:space="preserve">Calibrated to SRP E-67 class 5.2 TWh (FY2026) and APS 630 MW data center peak (Jul 2026)</t>
  </si>
  <si>
    <t xml:space="preserve">State TPT rate (contracting)</t>
  </si>
  <si>
    <t xml:space="preserve">rate</t>
  </si>
  <si>
    <t xml:space="preserve">ADOR TPT rate table Jan 2026</t>
  </si>
  <si>
    <t xml:space="preserve">Prime contracting taxable share</t>
  </si>
  <si>
    <t xml:space="preserve">ADOR contracting guidance (35% standard deduction)</t>
  </si>
  <si>
    <t xml:space="preserve">State income tax rate</t>
  </si>
  <si>
    <t xml:space="preserve">Arizona flat income tax</t>
  </si>
  <si>
    <t xml:space="preserve">Arizona population (2025)</t>
  </si>
  <si>
    <t xml:space="preserve">people</t>
  </si>
  <si>
    <t xml:space="preserve">Census Vintage 2025</t>
  </si>
  <si>
    <t xml:space="preserve">Arizona households</t>
  </si>
  <si>
    <t xml:space="preserve">households</t>
  </si>
  <si>
    <t xml:space="preserve">Census QuickFacts, ACS 2020-2024</t>
  </si>
  <si>
    <t xml:space="preserve">Years to spread construction tax for builds under way</t>
  </si>
  <si>
    <t xml:space="preserve">years</t>
  </si>
  <si>
    <t xml:space="preserve">model assumption (low case 4, high case 2)</t>
  </si>
  <si>
    <t xml:space="preserve">Annual cost of equipment sales-tax exemption (state + local)</t>
  </si>
  <si>
    <t xml:space="preserve">ADOR FY2025 tax expenditure $38.5M state + ~$20M local (model estimate); GCI FY2027 projection $60M+ state (high)</t>
  </si>
  <si>
    <t xml:space="preserve">Scarcity value of water</t>
  </si>
  <si>
    <t xml:space="preserve">$ per acre-foot</t>
  </si>
  <si>
    <t xml:space="preserve">model assumption — adjustable</t>
  </si>
  <si>
    <t xml:space="preserve">Grid cost shifted to each household</t>
  </si>
  <si>
    <t xml:space="preserve">$ per month</t>
  </si>
  <si>
    <t xml:space="preserve">Default 0: SRP/APS large-load rules and ACC staff finding on Project Blue; adjustable</t>
  </si>
  <si>
    <t xml:space="preserve">Average construction wage</t>
  </si>
  <si>
    <t xml:space="preserve">BLS QCEW 2025, Maricopa County NAICS 23</t>
  </si>
  <si>
    <t xml:space="preserve">Arizona farm GDP (2025)</t>
  </si>
  <si>
    <t xml:space="preserve">$</t>
  </si>
  <si>
    <t xml:space="preserve">BEA via FRED AZAGRNGSP</t>
  </si>
  <si>
    <t xml:space="preserve">Arizona agricultural water use</t>
  </si>
  <si>
    <t xml:space="preserve">acre-feet</t>
  </si>
  <si>
    <t xml:space="preserve">ADWR: 72% of ~7.0 million AF</t>
  </si>
  <si>
    <t xml:space="preserve">PwC full-ripple state &amp; local taxes (AZ 2024)</t>
  </si>
  <si>
    <t xml:space="preserve">PwC for Data Center Coalition 2026, excluding spillover</t>
  </si>
  <si>
    <t xml:space="preserve">Cost per teacher (salary + benefits)</t>
  </si>
  <si>
    <t xml:space="preserve">Auditor General FY2025 avg district teacher salary $65,613 + 30.9% benefits (Census FY2024 AZ instruction benefits ratio)</t>
  </si>
  <si>
    <t xml:space="preserve">Cost per firefighter (salary + pension + health)</t>
  </si>
  <si>
    <t xml:space="preserve">BLS OEWS 2025 AZ median $59,280 (O*NET) + PSPRS employer ~40.3% + Medicare 1.45% + health ~$14K (KFF 2025)</t>
  </si>
  <si>
    <t xml:space="preserve">ID</t>
  </si>
  <si>
    <t xml:space="preserve">Facility</t>
  </si>
  <si>
    <t xml:space="preserve">Operator</t>
  </si>
  <si>
    <t xml:space="preserve">City</t>
  </si>
  <si>
    <t xml:space="preserve">County</t>
  </si>
  <si>
    <t xml:space="preserve">Capacity basis</t>
  </si>
  <si>
    <t xml:space="preserve">Legislative district</t>
  </si>
  <si>
    <t xml:space="preserve">Status</t>
  </si>
  <si>
    <t xml:space="preserve">Announced capacity (MW)</t>
  </si>
  <si>
    <t xml:space="preserve">Hyperscale rate? (1=yes)</t>
  </si>
  <si>
    <t xml:space="preserve">Announced permanent jobs</t>
  </si>
  <si>
    <t xml:space="preserve">Announced construction jobs</t>
  </si>
  <si>
    <t xml:space="preserve">County TPT %</t>
  </si>
  <si>
    <t xml:space="preserve">City contracting TPT %</t>
  </si>
  <si>
    <t xml:space="preserve">Combined property rate (per $100 AV)</t>
  </si>
  <si>
    <t xml:space="preserve">Online MW now</t>
  </si>
  <si>
    <t xml:space="preserve">Operating MW (for taxes/jobs)</t>
  </si>
  <si>
    <t xml:space="preserve">MW built or being built</t>
  </si>
  <si>
    <t xml:space="preserve">Permanent jobs</t>
  </si>
  <si>
    <t xml:space="preserve">Ripple jobs</t>
  </si>
  <si>
    <t xml:space="preserve">Construction job-years</t>
  </si>
  <si>
    <t xml:space="preserve">Contracting tax (one-time, $)</t>
  </si>
  <si>
    <t xml:space="preserve">Annual property tax ($)</t>
  </si>
  <si>
    <t xml:space="preserve">Annual income tax ($)</t>
  </si>
  <si>
    <t xml:space="preserve">Annual state &amp; local tax ($)</t>
  </si>
  <si>
    <t xml:space="preserve">Payroll ($/yr)</t>
  </si>
  <si>
    <t xml:space="preserve">Electricity (GWh/yr)</t>
  </si>
  <si>
    <t xml:space="preserve">On-site water (AF/yr)</t>
  </si>
  <si>
    <t xml:space="preserve">edgecore-mesa-az</t>
  </si>
  <si>
    <t xml:space="preserve">EdgeCore Mesa Data Center Campus (PH01-PH05)</t>
  </si>
  <si>
    <t xml:space="preserve">EdgeCore Digital Infrastructure</t>
  </si>
  <si>
    <t xml:space="preserve">Mesa</t>
  </si>
  <si>
    <t xml:space="preserve">Maricopa County</t>
  </si>
  <si>
    <t xml:space="preserve">Reported: 450+ MW operator-stated full build-out; Compute Atlas records 206 MW operational</t>
  </si>
  <si>
    <t xml:space="preserve">operating</t>
  </si>
  <si>
    <t xml:space="preserve">compass-goodyear-campus-az</t>
  </si>
  <si>
    <t xml:space="preserve">Compass Datacenters Goodyear Campus</t>
  </si>
  <si>
    <t xml:space="preserve">Compass Datacenters</t>
  </si>
  <si>
    <t xml:space="preserve">Goodyear</t>
  </si>
  <si>
    <t xml:space="preserve">Reported: 350 MW full build capability; 72 MW first phase operating</t>
  </si>
  <si>
    <t xml:space="preserve">microsoft-goodyear-az</t>
  </si>
  <si>
    <t xml:space="preserve">Microsoft Goodyear Data Center Campus (PHX70-PHX74)</t>
  </si>
  <si>
    <t xml:space="preserve">Microsoft</t>
  </si>
  <si>
    <t xml:space="preserve">Model estimate: 2,000,000 sq ft / 6,000 sq ft per MW</t>
  </si>
  <si>
    <t xml:space="preserve">stream-data-centers-phxa-phoenix-i-vii-goodyear-campus-az</t>
  </si>
  <si>
    <t xml:space="preserve">Stream Data Centers PHXA Goodyear Campus (Phoenix I-VII)</t>
  </si>
  <si>
    <t xml:space="preserve">Stream Data Centers</t>
  </si>
  <si>
    <t xml:space="preserve">Reported: 280 MW planned campus; on-site APS substation up to 350 MW</t>
  </si>
  <si>
    <t xml:space="preserve">ntt-phoenix-campus-mesa-az</t>
  </si>
  <si>
    <t xml:space="preserve">NTT Global Data Centers Phoenix Campus (PH1-PH6, Elliot Rd)</t>
  </si>
  <si>
    <t xml:space="preserve">NTT Global Data Centers</t>
  </si>
  <si>
    <t xml:space="preserve">Reported: campus capacity at full build (reported); PH1 = 36 MW, 126,000 sq ft</t>
  </si>
  <si>
    <t xml:space="preserve">stack-phx01-avondale-az</t>
  </si>
  <si>
    <t xml:space="preserve">STACK Infrastructure PHX01 Campus (PHX01A-C)</t>
  </si>
  <si>
    <t xml:space="preserve">STACK Infrastructure</t>
  </si>
  <si>
    <t xml:space="preserve">Avondale</t>
  </si>
  <si>
    <t xml:space="preserve">Reported: 225 MW operator-stated campus capacity (STACK: 500 MW / 155 acres across its two Phoenix campuses)</t>
  </si>
  <si>
    <t xml:space="preserve">qts-phoenix-2-az</t>
  </si>
  <si>
    <t xml:space="preserve">QTS Phoenix 2 Campus (DC1-DC5)</t>
  </si>
  <si>
    <t xml:space="preserve">QTS Data Centers</t>
  </si>
  <si>
    <t xml:space="preserve">Phoenix</t>
  </si>
  <si>
    <t xml:space="preserve">Reported: 210+ MW critical power at full build (operator)</t>
  </si>
  <si>
    <t xml:space="preserve">aligned-phx-01-02-03-az</t>
  </si>
  <si>
    <t xml:space="preserve">Aligned Phoenix Campus (Union Hills: PHX-01/02/03/05)</t>
  </si>
  <si>
    <t xml:space="preserve">Aligned Data Centers</t>
  </si>
  <si>
    <t xml:space="preserve">Reported: reported campus capacity (Baxtel lists "Aligned Phoenix" at 180 MW; Arizona AI tracker 180 MW for PHX-01/02/03)</t>
  </si>
  <si>
    <t xml:space="preserve">vantage-phoenix-campus-goodyear-az</t>
  </si>
  <si>
    <t xml:space="preserve">Vantage Phoenix Campus AZ1 (AZ11-AZ15)</t>
  </si>
  <si>
    <t xml:space="preserve">Vantage Data Centers</t>
  </si>
  <si>
    <t xml:space="preserve">Reported: 176 MW planned (operator directory)</t>
  </si>
  <si>
    <t xml:space="preserve">cyrusone-chandler-phx1-phx8-az</t>
  </si>
  <si>
    <t xml:space="preserve">CyrusOne Chandler Campus (PHX1–PHX8)</t>
  </si>
  <si>
    <t xml:space="preserve">CyrusOne</t>
  </si>
  <si>
    <t xml:space="preserve">Chandler</t>
  </si>
  <si>
    <t xml:space="preserve">Reported: 169 MW operator-stated campus capacity</t>
  </si>
  <si>
    <t xml:space="preserve">apple-mesa-az</t>
  </si>
  <si>
    <t xml:space="preserve">Apple Mesa Global Data Command Center</t>
  </si>
  <si>
    <t xml:space="preserve">Apple</t>
  </si>
  <si>
    <t xml:space="preserve">Model estimate: $2B announced investment / $12.6M per MW all-in (building is a converted factory, so floor area overstates load)</t>
  </si>
  <si>
    <t xml:space="preserve">google-redhawk-mesa-az</t>
  </si>
  <si>
    <t xml:space="preserve">Google Mesa (Project Redhawk) Data Center Campus</t>
  </si>
  <si>
    <t xml:space="preserve">Google</t>
  </si>
  <si>
    <t xml:space="preserve">City of Mesa development-agreement revenue estimate assumed 150 MW</t>
  </si>
  <si>
    <t xml:space="preserve">aligned-chandler-campus-az</t>
  </si>
  <si>
    <t xml:space="preserve">Aligned Chandler Campus (PHX-04, PHX-06, PHX-08, PHX-09)</t>
  </si>
  <si>
    <t xml:space="preserve">Model estimate: 853,289 sq ft / 6,000 sq ft per MW</t>
  </si>
  <si>
    <t xml:space="preserve">iron-mountain-phoenix-campus-az</t>
  </si>
  <si>
    <t xml:space="preserve">Iron Mountain Phoenix Campus (AZP-1, AZP-2, AZP-3)</t>
  </si>
  <si>
    <t xml:space="preserve">Iron Mountain</t>
  </si>
  <si>
    <t xml:space="preserve">Reported: sum of reported AZP-1/2 (89 MW) + AZP-3 (36 MW); basis not specified</t>
  </si>
  <si>
    <t xml:space="preserve">meta-mesa-az</t>
  </si>
  <si>
    <t xml:space="preserve">Meta Mesa Data Center</t>
  </si>
  <si>
    <t xml:space="preserve">Meta</t>
  </si>
  <si>
    <t xml:space="preserve">Model estimate: $1.00B investment / $12.6M per MW all-in</t>
  </si>
  <si>
    <t xml:space="preserve">digital-realty-phx15-az</t>
  </si>
  <si>
    <t xml:space="preserve">Digital Realty PHX15 (Chandler)</t>
  </si>
  <si>
    <t xml:space="preserve">Digital Realty</t>
  </si>
  <si>
    <t xml:space="preserve">Reported: reported (Arizona AI tracker; unverified)</t>
  </si>
  <si>
    <t xml:space="preserve">edged-mesa-az</t>
  </si>
  <si>
    <t xml:space="preserve">Edged Phoenix (Mesa)</t>
  </si>
  <si>
    <t xml:space="preserve">Edged US</t>
  </si>
  <si>
    <t xml:space="preserve">Reported: 36 MW operational (operator/press-stated; IT vs utility basis not specified unless noted)</t>
  </si>
  <si>
    <t xml:space="preserve">digital-realty-phx-tempe-az</t>
  </si>
  <si>
    <t xml:space="preserve">Digital Realty PHX (Tempe)</t>
  </si>
  <si>
    <t xml:space="preserve">Tempe</t>
  </si>
  <si>
    <t xml:space="preserve">Reported: 33.8 MW (operator directory)</t>
  </si>
  <si>
    <t xml:space="preserve">digital-realty-phx10-az</t>
  </si>
  <si>
    <t xml:space="preserve">Digital Realty PHX10 (120 E Van Buren)</t>
  </si>
  <si>
    <t xml:space="preserve">Reported: reported (Arizona AI tracker)</t>
  </si>
  <si>
    <t xml:space="preserve">lpc-frye-road-chandler-az</t>
  </si>
  <si>
    <t xml:space="preserve">Lincoln Property Co. Frye Road Data Center (2500 W Frye Rd)</t>
  </si>
  <si>
    <t xml:space="preserve">Lincoln Property Company</t>
  </si>
  <si>
    <t xml:space="preserve">Reported: 28 MW confirmed utility power; +16 MW critical capacity planned</t>
  </si>
  <si>
    <t xml:space="preserve">h5-data-centers-chandler-az</t>
  </si>
  <si>
    <t xml:space="preserve">H5 Data Centers Phoenix (Chandler)</t>
  </si>
  <si>
    <t xml:space="preserve">H5 Data Centers</t>
  </si>
  <si>
    <t xml:space="preserve">Reported: 26 MW (operator)</t>
  </si>
  <si>
    <t xml:space="preserve">centersquare-phx3-az</t>
  </si>
  <si>
    <t xml:space="preserve">Centersquare (Evoque/Cyxtera) PHX3 - Mesa</t>
  </si>
  <si>
    <t xml:space="preserve">Centersquare (Cyxtera/Evoque)</t>
  </si>
  <si>
    <t xml:space="preserve">Reported: 17.3 MW (operator directory)</t>
  </si>
  <si>
    <t xml:space="preserve">centersquare-phx1-az</t>
  </si>
  <si>
    <t xml:space="preserve">Centersquare (Evoque/Cyxtera) PHX1 - Phoenix</t>
  </si>
  <si>
    <t xml:space="preserve">Centersquare</t>
  </si>
  <si>
    <t xml:space="preserve">Reported: operator directory (via Compute Atlas note)</t>
  </si>
  <si>
    <t xml:space="preserve">iron-mountain-azs-1-az</t>
  </si>
  <si>
    <t xml:space="preserve">Iron Mountain AZS-1</t>
  </si>
  <si>
    <t xml:space="preserve">Scottsdale</t>
  </si>
  <si>
    <t xml:space="preserve">Reported: 5.8 MW (operator directory)</t>
  </si>
  <si>
    <t xml:space="preserve">flexential-phoenix-deer-valley-az</t>
  </si>
  <si>
    <t xml:space="preserve">Flexential Phoenix - Deer Valley</t>
  </si>
  <si>
    <t xml:space="preserve">Flexential</t>
  </si>
  <si>
    <t xml:space="preserve">Reported: 5.02 MW (datacenterHawk via Compute Atlas)</t>
  </si>
  <si>
    <t xml:space="preserve">edgeconnex-tempe-phx01-az</t>
  </si>
  <si>
    <t xml:space="preserve">EdgeConneX Phoenix EDCPHX01</t>
  </si>
  <si>
    <t xml:space="preserve">EdgeConneX</t>
  </si>
  <si>
    <t xml:space="preserve">microsoft-el-mirage-az</t>
  </si>
  <si>
    <t xml:space="preserve">Microsoft El Mirage Data Center Campus (PHX80-PHX83)</t>
  </si>
  <si>
    <t xml:space="preserve">El Mirage</t>
  </si>
  <si>
    <t xml:space="preserve">Model default for a small retail/enterprise facility with no published capacity (2 MW)</t>
  </si>
  <si>
    <t xml:space="preserve">phoenixnap-phx01-az</t>
  </si>
  <si>
    <t xml:space="preserve">phoenixNAP PHX01 (3402 E University Dr)</t>
  </si>
  <si>
    <t xml:space="preserve">phoenixNAP</t>
  </si>
  <si>
    <t xml:space="preserve">databank-phoenix-az</t>
  </si>
  <si>
    <t xml:space="preserve">DataBank PHX1 (Downtown) &amp; PHX2 (Sky Harbor)</t>
  </si>
  <si>
    <t xml:space="preserve">DataBank</t>
  </si>
  <si>
    <t xml:space="preserve">lumen-phoenix-az</t>
  </si>
  <si>
    <t xml:space="preserve">Lumen Phoenix 1-4</t>
  </si>
  <si>
    <t xml:space="preserve">Lumen Technologies</t>
  </si>
  <si>
    <t xml:space="preserve">us-signal-phoenix-az01</t>
  </si>
  <si>
    <t xml:space="preserve">US Signal Phoenix AZ01</t>
  </si>
  <si>
    <t xml:space="preserve">US Signal</t>
  </si>
  <si>
    <t xml:space="preserve">Gilbert</t>
  </si>
  <si>
    <t xml:space="preserve">comarch-mesa-az</t>
  </si>
  <si>
    <t xml:space="preserve">Comarch Mesa Data Center</t>
  </si>
  <si>
    <t xml:space="preserve">Comarch</t>
  </si>
  <si>
    <t xml:space="preserve">cogent-phoenix-az</t>
  </si>
  <si>
    <t xml:space="preserve">Cogent Data Center - Phoenix</t>
  </si>
  <si>
    <t xml:space="preserve">Cogent Communications</t>
  </si>
  <si>
    <t xml:space="preserve">expedient-phoenix-az</t>
  </si>
  <si>
    <t xml:space="preserve">Expedient Phoenix</t>
  </si>
  <si>
    <t xml:space="preserve">Expedient</t>
  </si>
  <si>
    <t xml:space="preserve">lightedge-phoenix-az</t>
  </si>
  <si>
    <t xml:space="preserve">LightEdge Phoenix (Van Buren)</t>
  </si>
  <si>
    <t xml:space="preserve">LightEdge</t>
  </si>
  <si>
    <t xml:space="preserve">1111-systems-scottsdale-az</t>
  </si>
  <si>
    <t xml:space="preserve">11:11 Systems Scottsdale</t>
  </si>
  <si>
    <t xml:space="preserve">11:11 Systems</t>
  </si>
  <si>
    <t xml:space="preserve">liquid-web-phoenix-az</t>
  </si>
  <si>
    <t xml:space="preserve">Liquid Web Phoenix</t>
  </si>
  <si>
    <t xml:space="preserve">Liquid Web</t>
  </si>
  <si>
    <t xml:space="preserve">lexisnexis-scottsdale-az</t>
  </si>
  <si>
    <t xml:space="preserve">LexisNexis Scottsdale (enterprise)</t>
  </si>
  <si>
    <t xml:space="preserve">LexisNexis</t>
  </si>
  <si>
    <t xml:space="preserve">omnis-tempe-az</t>
  </si>
  <si>
    <t xml:space="preserve">Omnis Network Data Center</t>
  </si>
  <si>
    <t xml:space="preserve">Omnis Network</t>
  </si>
  <si>
    <t xml:space="preserve">colobarn-tempe-az</t>
  </si>
  <si>
    <t xml:space="preserve">ColoBarn Phoenix Data Center</t>
  </si>
  <si>
    <t xml:space="preserve">ColoBarn</t>
  </si>
  <si>
    <t xml:space="preserve">hivelocity-chandler-az</t>
  </si>
  <si>
    <t xml:space="preserve">Hivelocity Phoenix 1</t>
  </si>
  <si>
    <t xml:space="preserve">Hivelocity</t>
  </si>
  <si>
    <t xml:space="preserve">uniti-phoenix-az</t>
  </si>
  <si>
    <t xml:space="preserve">Uniti Phoenix</t>
  </si>
  <si>
    <t xml:space="preserve">Uniti Wholesale</t>
  </si>
  <si>
    <t xml:space="preserve">cleardata-phoenix-az</t>
  </si>
  <si>
    <t xml:space="preserve">ClearData Data Center</t>
  </si>
  <si>
    <t xml:space="preserve">ClearData Networks</t>
  </si>
  <si>
    <t xml:space="preserve">nexustek-phoenix-az</t>
  </si>
  <si>
    <t xml:space="preserve">NexusTek Data Center</t>
  </si>
  <si>
    <t xml:space="preserve">NexusTek</t>
  </si>
  <si>
    <t xml:space="preserve">evocative-phx1-az</t>
  </si>
  <si>
    <t xml:space="preserve">Evocative PHX1</t>
  </si>
  <si>
    <t xml:space="preserve">Evocative</t>
  </si>
  <si>
    <t xml:space="preserve">raeden-phoenix-az</t>
  </si>
  <si>
    <t xml:space="preserve">Raeden Phoenix</t>
  </si>
  <si>
    <t xml:space="preserve">Raeden</t>
  </si>
  <si>
    <t xml:space="preserve">saragon-phoenix-az</t>
  </si>
  <si>
    <t xml:space="preserve">Saragon Phoenix</t>
  </si>
  <si>
    <t xml:space="preserve">Saragon</t>
  </si>
  <si>
    <t xml:space="preserve">dcx-goodyear-az</t>
  </si>
  <si>
    <t xml:space="preserve">DCX Goodyear</t>
  </si>
  <si>
    <t xml:space="preserve">DCX</t>
  </si>
  <si>
    <t xml:space="preserve">cgi-phoenix-az</t>
  </si>
  <si>
    <t xml:space="preserve">CGI Phoenix Data Center (enterprise)</t>
  </si>
  <si>
    <t xml:space="preserve">CGI</t>
  </si>
  <si>
    <t xml:space="preserve">hbs-phoenix-az</t>
  </si>
  <si>
    <t xml:space="preserve">HBS Phoenix</t>
  </si>
  <si>
    <t xml:space="preserve">Heartland Business Systems</t>
  </si>
  <si>
    <t xml:space="preserve">verizon-3930-watkins-az</t>
  </si>
  <si>
    <t xml:space="preserve">Verizon 3930 Watkins</t>
  </si>
  <si>
    <t xml:space="preserve">Verizon Enterprise</t>
  </si>
  <si>
    <t xml:space="preserve">windstream-phoenix-az</t>
  </si>
  <si>
    <t xml:space="preserve">Windstream Phoenix</t>
  </si>
  <si>
    <t xml:space="preserve">Windstream</t>
  </si>
  <si>
    <t xml:space="preserve">datacanopy-phoenix-az</t>
  </si>
  <si>
    <t xml:space="preserve">DataCanopy Phoenix</t>
  </si>
  <si>
    <t xml:space="preserve">DataCanopy</t>
  </si>
  <si>
    <t xml:space="preserve">horizoniq-phoenix-az</t>
  </si>
  <si>
    <t xml:space="preserve">HorizonIQ (Internap) Phoenix</t>
  </si>
  <si>
    <t xml:space="preserve">HorizonIQ</t>
  </si>
  <si>
    <t xml:space="preserve">amex-phoenix-az</t>
  </si>
  <si>
    <t xml:space="preserve">American Express Phoenix Information Processing Center (enterprise)</t>
  </si>
  <si>
    <t xml:space="preserve">American Express</t>
  </si>
  <si>
    <t xml:space="preserve">schwab-phoenix-az</t>
  </si>
  <si>
    <t xml:space="preserve">Charles Schwab Phoenix Data Center (enterprise)</t>
  </si>
  <si>
    <t xml:space="preserve">Charles Schwab</t>
  </si>
  <si>
    <t xml:space="preserve">godaddy-phoenix-az</t>
  </si>
  <si>
    <t xml:space="preserve">GoDaddy Phoenix Data Center (enterprise)</t>
  </si>
  <si>
    <t xml:space="preserve">GoDaddy</t>
  </si>
  <si>
    <t xml:space="preserve">login-dc2-tucson-az</t>
  </si>
  <si>
    <t xml:space="preserve">Login DC2</t>
  </si>
  <si>
    <t xml:space="preserve">Login, LLC</t>
  </si>
  <si>
    <t xml:space="preserve">Tucson</t>
  </si>
  <si>
    <t xml:space="preserve">Pima County</t>
  </si>
  <si>
    <t xml:space="preserve">ark-tucson-az</t>
  </si>
  <si>
    <t xml:space="preserve">Ark Data Centers Tucson</t>
  </si>
  <si>
    <t xml:space="preserve">Ark Data Centers</t>
  </si>
  <si>
    <t xml:space="preserve">winsor-colocation-tucson-az</t>
  </si>
  <si>
    <t xml:space="preserve">Winsor Colocation</t>
  </si>
  <si>
    <t xml:space="preserve">Winsor Consulting Group</t>
  </si>
  <si>
    <t xml:space="preserve">directv-tucson-az</t>
  </si>
  <si>
    <t xml:space="preserve">DirecTV Tucson (enterprise)</t>
  </si>
  <si>
    <t xml:space="preserve">DirecTV</t>
  </si>
  <si>
    <t xml:space="preserve">lumen-tucson-az</t>
  </si>
  <si>
    <t xml:space="preserve">Lumen Tucson 1</t>
  </si>
  <si>
    <t xml:space="preserve">Lumen</t>
  </si>
  <si>
    <t xml:space="preserve">tecfusions-tucson-az</t>
  </si>
  <si>
    <t xml:space="preserve">TECfusions Tucson</t>
  </si>
  <si>
    <t xml:space="preserve">TECfusions</t>
  </si>
  <si>
    <t xml:space="preserve">simply-bits-tucson-az</t>
  </si>
  <si>
    <t xml:space="preserve">Simply Bits Vault</t>
  </si>
  <si>
    <t xml:space="preserve">Simply Bits</t>
  </si>
  <si>
    <t xml:space="preserve">firstdigital-tucson-az</t>
  </si>
  <si>
    <t xml:space="preserve">FirstDigital Tucson</t>
  </si>
  <si>
    <t xml:space="preserve">FirstDigital</t>
  </si>
  <si>
    <t xml:space="preserve">directv-benson-az</t>
  </si>
  <si>
    <t xml:space="preserve">DirecTV Benson (enterprise)</t>
  </si>
  <si>
    <t xml:space="preserve">Benson</t>
  </si>
  <si>
    <t xml:space="preserve">Cochise County</t>
  </si>
  <si>
    <t xml:space="preserve">microsoft-goodyear-airpark-az</t>
  </si>
  <si>
    <t xml:space="preserve">Microsoft Goodyear Airpark Campus (PHX10-PHX15)</t>
  </si>
  <si>
    <t xml:space="preserve">Counted inside the Microsoft Goodyear campus estimate (not disclosed separately)</t>
  </si>
  <si>
    <t xml:space="preserve">beale-project-blue-pima-county-az</t>
  </si>
  <si>
    <t xml:space="preserve">Project Blue (Beale Infrastructure; AWS end user)</t>
  </si>
  <si>
    <t xml:space="preserve">Beale Infrastructure</t>
  </si>
  <si>
    <t xml:space="preserve">Tucson area (unincorporated Pima County)</t>
  </si>
  <si>
    <t xml:space="preserve">Reported: ~600 MW reported (500-700 MW range); TEP energy supply agreement filed for 286 MW (Sept 2025)</t>
  </si>
  <si>
    <t xml:space="preserve">under construction</t>
  </si>
  <si>
    <t xml:space="preserve">novva-mesa-az</t>
  </si>
  <si>
    <t xml:space="preserve">Novva Mesa Data Center Campus (Project Borealis)</t>
  </si>
  <si>
    <t xml:space="preserve">Novva Data Centers</t>
  </si>
  <si>
    <t xml:space="preserve">Reported: 300 MW planned/full build (operator/press-stated; IT vs utility basis not specified unless noted)</t>
  </si>
  <si>
    <t xml:space="preserve">stack-phx02-phoenix-az</t>
  </si>
  <si>
    <t xml:space="preserve">STACK Infrastructure PHX02 Campus</t>
  </si>
  <si>
    <t xml:space="preserve">Reported: 250 MW operator-stated campus capacity</t>
  </si>
  <si>
    <t xml:space="preserve">prime-avondale-az</t>
  </si>
  <si>
    <t xml:space="preserve">Prime Data Centers Phoenix/Avondale Campus (PHX01)</t>
  </si>
  <si>
    <t xml:space="preserve">Prime Data Centers</t>
  </si>
  <si>
    <t xml:space="preserve">Reported: 240 MW campus (operator)</t>
  </si>
  <si>
    <t xml:space="preserve">menlo-digital-md-phx1-az</t>
  </si>
  <si>
    <t xml:space="preserve">Menlo Digital MD-PHX1 (East Thistle Landing)</t>
  </si>
  <si>
    <t xml:space="preserve">Menlo Digital (Menlo Equities)</t>
  </si>
  <si>
    <t xml:space="preserve">Reported: 180 MW critical IT load; 257 MW utility feed</t>
  </si>
  <si>
    <t xml:space="preserve">edgeconnex-mesa-campus-phx11-3302-s-hawes-rd-az</t>
  </si>
  <si>
    <t xml:space="preserve">EdgeConneX Mesa Campus (PHX11)</t>
  </si>
  <si>
    <t xml:space="preserve">Model estimate: 1,000,000 sq ft / 6,000 sq ft per MW</t>
  </si>
  <si>
    <t xml:space="preserve">aws-mesa-pecos-road-az</t>
  </si>
  <si>
    <t xml:space="preserve">AWS Mesa - Pecos Road Campus (PHX65)</t>
  </si>
  <si>
    <t xml:space="preserve">Amazon Web Services</t>
  </si>
  <si>
    <t xml:space="preserve">Model estimate: 454,000 sq ft / 6,000 sq ft per MW</t>
  </si>
  <si>
    <t xml:space="preserve">aligned-phx13-glendale-az</t>
  </si>
  <si>
    <t xml:space="preserve">Aligned West Valley Campus (PHX-13; also listed PHX-07/12/14)</t>
  </si>
  <si>
    <t xml:space="preserve">Glendale</t>
  </si>
  <si>
    <t xml:space="preserve">Reported: 72 MW planned/full build (operator/press-stated; IT vs utility basis not specified unless noted)</t>
  </si>
  <si>
    <t xml:space="preserve">5c-data-centers-phx01-phoenix-az</t>
  </si>
  <si>
    <t xml:space="preserve">5C Data Centers PHX01</t>
  </si>
  <si>
    <t xml:space="preserve">5C Data Centers</t>
  </si>
  <si>
    <t xml:space="preserve">Reported: 20 MW planned (operator)</t>
  </si>
  <si>
    <t xml:space="preserve">qts-phoenix-4-tolleson-az</t>
  </si>
  <si>
    <t xml:space="preserve">QTS Phoenix 4 (Hermosa Ranch Technology Campus, Avondale/Tolleson)</t>
  </si>
  <si>
    <t xml:space="preserve">Tolleson</t>
  </si>
  <si>
    <t xml:space="preserve">Capacity not disclosed — not estimated</t>
  </si>
  <si>
    <t xml:space="preserve">tract-buckeye-tech-corridor-az</t>
  </si>
  <si>
    <t xml:space="preserve">Tract Buckeye Tech Corridor (Buckeye Technology Park)</t>
  </si>
  <si>
    <t xml:space="preserve">Tract</t>
  </si>
  <si>
    <t xml:space="preserve">Buckeye</t>
  </si>
  <si>
    <t xml:space="preserve">Reported: APS expanding service for up to 1.8 GW of demand (utility load)</t>
  </si>
  <si>
    <t xml:space="preserve">approved/planned</t>
  </si>
  <si>
    <t xml:space="preserve">arizona-land-consulting-hassayampa-ranch-tonopah-az</t>
  </si>
  <si>
    <t xml:space="preserve">Hassayampa Ranch Data Center</t>
  </si>
  <si>
    <t xml:space="preserve">Arizona Land Consulting</t>
  </si>
  <si>
    <t xml:space="preserve">Tonopah</t>
  </si>
  <si>
    <t xml:space="preserve">Reported: 1.5 GW planned (reported)</t>
  </si>
  <si>
    <t xml:space="preserve">qts-phoenix-3-glendale-az</t>
  </si>
  <si>
    <t xml:space="preserve">QTS Phoenix 3 Campus (Camelback 303 / Glendale)</t>
  </si>
  <si>
    <t xml:space="preserve">QTS Data Centers (Blackstone)</t>
  </si>
  <si>
    <t xml:space="preserve">Reported: critical capacity at full build (DCD, from filings)</t>
  </si>
  <si>
    <t xml:space="preserve">edgecore-dobson-farms-east-florence-az</t>
  </si>
  <si>
    <t xml:space="preserve">EdgeCore Dobson Farms East (Florence Tech Park)</t>
  </si>
  <si>
    <t xml:space="preserve">Florence</t>
  </si>
  <si>
    <t xml:space="preserve">Pinal County</t>
  </si>
  <si>
    <t xml:space="preserve">Reported: 720 MW = ten buildings x ~72 MW (concept plan)</t>
  </si>
  <si>
    <t xml:space="preserve">compass-phx-ii-el-mirage-az</t>
  </si>
  <si>
    <t xml:space="preserve">Compass Datacenters PHX II Campus (El Mirage)</t>
  </si>
  <si>
    <t xml:space="preserve">Reported: 3 buildings x 36 MW (IT load, per DCD/Data Center Map); master plan up to 350 MW cited by Data Center Map</t>
  </si>
  <si>
    <t xml:space="preserve">phoenixnap-phx02-phoenix-az</t>
  </si>
  <si>
    <t xml:space="preserve">phoenixNAP PHX02</t>
  </si>
  <si>
    <t xml:space="preserve">Reported: 30 MW initial, up to 50 MW (AZBEX)</t>
  </si>
  <si>
    <t xml:space="preserve">vantage-glendale-az3-az</t>
  </si>
  <si>
    <t xml:space="preserve">Vantage Glendale Campus (AZ3, Camelback 303)</t>
  </si>
  <si>
    <t xml:space="preserve">arizona-land-consulting-balterra-tonopah-az</t>
  </si>
  <si>
    <t xml:space="preserve">Balterra</t>
  </si>
  <si>
    <t xml:space="preserve">grandilla-foot-creek-491st-thomas-tonopah-az</t>
  </si>
  <si>
    <t xml:space="preserve">491st Avenue and Thomas Road Data Center / Solar Site</t>
  </si>
  <si>
    <t xml:space="preserve">Grandilla (Arizona) Inc. and Foot Creek Corporation</t>
  </si>
  <si>
    <t xml:space="preserve">takanock-project-baccara-maricopa-county-az</t>
  </si>
  <si>
    <t xml:space="preserve">Project Baccara (Takanock)</t>
  </si>
  <si>
    <t xml:space="preserve">Takanock, LLC</t>
  </si>
  <si>
    <t xml:space="preserve">Glendale (pre-annexation) / unincorporated Maricopa County</t>
  </si>
  <si>
    <t xml:space="preserve">700 MW figure is on-site gas generation, not computing load; IT load not disclosed</t>
  </si>
  <si>
    <t xml:space="preserve">ryan-companies-florence-tech-park-az</t>
  </si>
  <si>
    <t xml:space="preserve">Florence Tech Park</t>
  </si>
  <si>
    <t xml:space="preserve">Ryan Companies US, Inc.</t>
  </si>
  <si>
    <t xml:space="preserve">lpi-group-project-midway-casa-grande-az</t>
  </si>
  <si>
    <t xml:space="preserve">Project Midway Data Center</t>
  </si>
  <si>
    <t xml:space="preserve">LPI Group</t>
  </si>
  <si>
    <t xml:space="preserve">Casa Grande</t>
  </si>
  <si>
    <t xml:space="preserve">w-holdings-energy-generation-technology-campus-maricopa-az</t>
  </si>
  <si>
    <t xml:space="preserve">W Holdings / Copia Energy Generation &amp; Technology Campus (south of Maricopa)</t>
  </si>
  <si>
    <t xml:space="preserve">W Holdings</t>
  </si>
  <si>
    <t xml:space="preserve">Maricopa</t>
  </si>
  <si>
    <t xml:space="preserve">casa-grande-willis-barnes-site-az</t>
  </si>
  <si>
    <t xml:space="preserve">Casa Grande West (Willis/Barnes) data center site</t>
  </si>
  <si>
    <t xml:space="preserve">fremont-peak-luckett-road-marana-az</t>
  </si>
  <si>
    <t xml:space="preserve">Beale Marana Luckett Road Campus (Fremont Peak Properties)</t>
  </si>
  <si>
    <t xml:space="preserve">Fremont Peak Properties LLC (Beale Infrastructure)</t>
  </si>
  <si>
    <t xml:space="preserve">Marana</t>
  </si>
  <si>
    <t xml:space="preserve">entrata-mohave-az</t>
  </si>
  <si>
    <t xml:space="preserve">Entrata Data Center (White Hills)</t>
  </si>
  <si>
    <t xml:space="preserve">Clean Cloud Energy (developer); Al Barbarich (Entrata master plan owner)</t>
  </si>
  <si>
    <t xml:space="preserve">White Hills area (unincorporated)</t>
  </si>
  <si>
    <t xml:space="preserve">Mohave County</t>
  </si>
  <si>
    <t xml:space="preserve">Reported: up to 1.25 GW maximum</t>
  </si>
  <si>
    <t xml:space="preserve">proposed</t>
  </si>
  <si>
    <t xml:space="preserve">huntley-page-az</t>
  </si>
  <si>
    <t xml:space="preserve">Huntley Page Data Center Campus</t>
  </si>
  <si>
    <t xml:space="preserve">Huntley LLC (linked to UK-based Hollybrook/Rooskey)</t>
  </si>
  <si>
    <t xml:space="preserve">Page</t>
  </si>
  <si>
    <t xml:space="preserve">Coconino County</t>
  </si>
  <si>
    <t xml:space="preserve">Reported: up to 1 GW (developer target)</t>
  </si>
  <si>
    <t xml:space="preserve">davis-monthan-afb-data-center-az</t>
  </si>
  <si>
    <t xml:space="preserve">Davis-Monthan AFB commercial AI data center (federal land lease)</t>
  </si>
  <si>
    <t xml:space="preserve">U.S. Air Force (lessor; developer not selected)</t>
  </si>
  <si>
    <t xml:space="preserve">Reported: 500+ MW sought in RFI</t>
  </si>
  <si>
    <t xml:space="preserve">ryan-companies-southwest-crossing-data-park-eloy-az</t>
  </si>
  <si>
    <t xml:space="preserve">Ryan Companies Southwest Crossing Data Park</t>
  </si>
  <si>
    <t xml:space="preserve">Eloy</t>
  </si>
  <si>
    <t xml:space="preserve">Reported: 400 MW (reported)</t>
  </si>
  <si>
    <t xml:space="preserve">ntt-global-mesa-az</t>
  </si>
  <si>
    <t xml:space="preserve">NTT Mesa Pacific Proving Technology Park (PH10 campus)</t>
  </si>
  <si>
    <t xml:space="preserve">Reported: 360 MW planned (reported)</t>
  </si>
  <si>
    <t xml:space="preserve">cyrusone-mesa-elliot-ellsworth-az</t>
  </si>
  <si>
    <t xml:space="preserve">CyrusOne Mesa Campus (Mesa Elliot Technology Park)</t>
  </si>
  <si>
    <t xml:space="preserve">Reported: 198 MW planned (per Baxtel/Compute Atlas; basis not specified)</t>
  </si>
  <si>
    <t xml:space="preserve">aws-mesa-elliot-road-az</t>
  </si>
  <si>
    <t xml:space="preserve">AWS Mesa - Elliot Road Site</t>
  </si>
  <si>
    <t xml:space="preserve">aws-laveen-az</t>
  </si>
  <si>
    <t xml:space="preserve">AWS Laveen (Phoenix) Land Site</t>
  </si>
  <si>
    <t xml:space="preserve">Laveen</t>
  </si>
  <si>
    <t xml:space="preserve">aligned-peoria-campus-az</t>
  </si>
  <si>
    <t xml:space="preserve">Aligned Peoria Campus (Peoria Logistics Park)</t>
  </si>
  <si>
    <t xml:space="preserve">Peoria</t>
  </si>
  <si>
    <t xml:space="preserve">arizona-land-consulting-camelback-creek-tonopah-az</t>
  </si>
  <si>
    <t xml:space="preserve">Camelback Creek</t>
  </si>
  <si>
    <t xml:space="preserve">alc-johnson-southern-buckeye-az</t>
  </si>
  <si>
    <t xml:space="preserve">Arizona Land Consulting - Johnson Rd &amp; Southern Ave site</t>
  </si>
  <si>
    <t xml:space="preserve">wintersburg-313-tonopah-az</t>
  </si>
  <si>
    <t xml:space="preserve">Wintersburg 313</t>
  </si>
  <si>
    <t xml:space="preserve">313 Wintersburg LLC and Wintersburg Four LLC</t>
  </si>
  <si>
    <t xml:space="preserve">belmont-tonopah-az</t>
  </si>
  <si>
    <t xml:space="preserve">Belmont Mixed-Use Area (data center-eligible rezoning)</t>
  </si>
  <si>
    <t xml:space="preserve">LKY Development Company</t>
  </si>
  <si>
    <t xml:space="preserve">fortescue-buckeye-az</t>
  </si>
  <si>
    <t xml:space="preserve">Fortescue Buckeye (former Nikola hydrogen site) potential data center</t>
  </si>
  <si>
    <t xml:space="preserve">Fortescue (Phoenix Hydrogen Hub LLC)</t>
  </si>
  <si>
    <t xml:space="preserve">zinke-arizona-independent-technology-campus-pinal-az</t>
  </si>
  <si>
    <t xml:space="preserve">Arizona Independent Technology Campus</t>
  </si>
  <si>
    <t xml:space="preserve">Zinke Investments LLC</t>
  </si>
  <si>
    <t xml:space="preserve">alc-casa-grande-az</t>
  </si>
  <si>
    <t xml:space="preserve">Arizona Land Consulting Casa Grande mixed-use site</t>
  </si>
  <si>
    <t xml:space="preserve">sahuarita-holdings-project-gravel-pima-county-az</t>
  </si>
  <si>
    <t xml:space="preserve">Project Gravel</t>
  </si>
  <si>
    <t xml:space="preserve">Sahuarita Holdings, LLC</t>
  </si>
  <si>
    <t xml:space="preserve">Sahuarita area (Pima County)</t>
  </si>
  <si>
    <t xml:space="preserve">tract-project-range-buckeye-goodyear-az</t>
  </si>
  <si>
    <t xml:space="preserve">Project Range</t>
  </si>
  <si>
    <t xml:space="preserve">cancelled/withdrawn</t>
  </si>
  <si>
    <t xml:space="preserve">vintage-partners-laveen-az</t>
  </si>
  <si>
    <t xml:space="preserve">Vintage Partners Laveen Data Center (withdrawn)</t>
  </si>
  <si>
    <t xml:space="preserve">Vintage Partners</t>
  </si>
  <si>
    <t xml:space="preserve">Phoenix (Laveen)</t>
  </si>
  <si>
    <t xml:space="preserve">active-infrastructure-chandler-az</t>
  </si>
  <si>
    <t xml:space="preserve">Active Infrastructure Price/Dobson AI Data Center (rejected)</t>
  </si>
  <si>
    <t xml:space="preserve">Active Infrastructure</t>
  </si>
  <si>
    <t xml:space="preserve">vermaland-la-osa-eloy-az</t>
  </si>
  <si>
    <t xml:space="preserve">Vermaland La Osa Data Center &amp; Energy Park (rejected)</t>
  </si>
  <si>
    <t xml:space="preserve">Vermaland LLC</t>
  </si>
  <si>
    <t xml:space="preserve">the-hive-kingman-az</t>
  </si>
  <si>
    <t xml:space="preserve">The Hive solar data center (Kingman) - not built</t>
  </si>
  <si>
    <t xml:space="preserve">Pegasus Group Holdings / Plus Minus Power</t>
  </si>
  <si>
    <t xml:space="preserve">Kingman area (Golden Valley)</t>
  </si>
  <si>
    <t xml:space="preserve">340 MW figure is solar generation, not computing load</t>
  </si>
  <si>
    <t xml:space="preserve">Totals by status</t>
  </si>
  <si>
    <t xml:space="preserve">Scale factor (online ÷ announced operating MW)</t>
  </si>
  <si>
    <t xml:space="preserve">LD</t>
  </si>
  <si>
    <t xml:space="preserve">Operating facilities</t>
  </si>
  <si>
    <t xml:space="preserve">Under construction</t>
  </si>
  <si>
    <t xml:space="preserve">Pipeline (approved + proposed)</t>
  </si>
  <si>
    <t xml:space="preserve">MW online</t>
  </si>
  <si>
    <t xml:space="preserve">Permanent jobs (operating)</t>
  </si>
  <si>
    <t xml:space="preserve">Ripple jobs (even share)</t>
  </si>
  <si>
    <t xml:space="preserve">Construction job-years built</t>
  </si>
  <si>
    <t xml:space="preserve">Construction job-years under way</t>
  </si>
  <si>
    <t xml:space="preserve">Contracting tax, builds under way ($)</t>
  </si>
  <si>
    <t xml:space="preserve">Pipeline permanent jobs (building + pipeline)</t>
  </si>
  <si>
    <t xml:space="preserve">Jobs per 1,000 residents</t>
  </si>
  <si>
    <t xml:space="preserve">State Senator</t>
  </si>
  <si>
    <t xml:space="preserve">State Representatives</t>
  </si>
  <si>
    <t xml:space="preserve">Mark Finchem (R)</t>
  </si>
  <si>
    <t xml:space="preserve">Quang H Nguyen (R); Selina Bliss (R)</t>
  </si>
  <si>
    <t xml:space="preserve">Shawnna Bolick (R)</t>
  </si>
  <si>
    <t xml:space="preserve">Justin Wilmeth (R); Stephanie Simacek (D)</t>
  </si>
  <si>
    <t xml:space="preserve">John Kavanagh (R)</t>
  </si>
  <si>
    <t xml:space="preserve">Alexander Kolodin (R); Cody Reim (R)</t>
  </si>
  <si>
    <t xml:space="preserve">Carine Werner (R)</t>
  </si>
  <si>
    <t xml:space="preserve">Matt Gress (R); Pamela Carter (R)</t>
  </si>
  <si>
    <t xml:space="preserve">Lela Alston (D)</t>
  </si>
  <si>
    <t xml:space="preserve">Aaron Márquez (D); Sarah Liguori (D)</t>
  </si>
  <si>
    <t xml:space="preserve">Theresa Hatathlie (D)</t>
  </si>
  <si>
    <t xml:space="preserve">Mae Peshlakai (D); Myron Tsosie (D)</t>
  </si>
  <si>
    <t xml:space="preserve">Wendy Rogers (R)</t>
  </si>
  <si>
    <t xml:space="preserve">Sylvia Allen (R); Walt Blackman (R)</t>
  </si>
  <si>
    <t xml:space="preserve">Lauren Kuby (D)</t>
  </si>
  <si>
    <t xml:space="preserve">Brian Garcia (D); Janeen Connolly (D)</t>
  </si>
  <si>
    <t xml:space="preserve">Kiana Sears (D)</t>
  </si>
  <si>
    <t xml:space="preserve">Lorena Austin (D); Seth Blattman (D)</t>
  </si>
  <si>
    <t xml:space="preserve">David C. Farnsworth (R)</t>
  </si>
  <si>
    <t xml:space="preserve">Justin Olson (R); Ralph Heap (R)</t>
  </si>
  <si>
    <t xml:space="preserve">Catherine Miranda (D)</t>
  </si>
  <si>
    <t xml:space="preserve">Junelle Cavero (D); Oscar De Los Santos (D)</t>
  </si>
  <si>
    <t xml:space="preserve">Denise “Mitzi” Epstein (D)</t>
  </si>
  <si>
    <t xml:space="preserve">Patty Contreras (D); Stacey Travers (D)</t>
  </si>
  <si>
    <t xml:space="preserve">J.D. Mesnard (R)</t>
  </si>
  <si>
    <t xml:space="preserve">Jeff Weninger (R); Julie Willoughby (R)</t>
  </si>
  <si>
    <t xml:space="preserve">Warren Petersen (R)</t>
  </si>
  <si>
    <t xml:space="preserve">Khyl Powell (R); Laurin Hendrix (R)</t>
  </si>
  <si>
    <t xml:space="preserve">Jake Hoffman (R)</t>
  </si>
  <si>
    <t xml:space="preserve">Michael Way (R); Neal Carter (R)</t>
  </si>
  <si>
    <t xml:space="preserve">Thomas "T.J." Shope (R)</t>
  </si>
  <si>
    <t xml:space="preserve">Chris Lopez (R); Teresa Martinez (R)</t>
  </si>
  <si>
    <t xml:space="preserve">Venden "Vince" Leach (R)</t>
  </si>
  <si>
    <t xml:space="preserve">Kevin Volk (D); Rachel Keshel (R)</t>
  </si>
  <si>
    <t xml:space="preserve">Priya Sundareshan (D)</t>
  </si>
  <si>
    <t xml:space="preserve">Christopher Mathis (D); Nancy Gutierrez (D)</t>
  </si>
  <si>
    <t xml:space="preserve">David Gowan (R)</t>
  </si>
  <si>
    <t xml:space="preserve">Gail Griffin (R); Lupe Diaz (R)</t>
  </si>
  <si>
    <t xml:space="preserve">Sally Ann Gonzales (D)</t>
  </si>
  <si>
    <t xml:space="preserve">Alma Hernandez (D); Betty J Villegas (D)</t>
  </si>
  <si>
    <t xml:space="preserve">Rosanna Gabaldón (D)</t>
  </si>
  <si>
    <t xml:space="preserve">Consuelo Hernandez (D); Stephanie Stahl Hamilton (D)</t>
  </si>
  <si>
    <t xml:space="preserve">Eva Diaz (D)</t>
  </si>
  <si>
    <t xml:space="preserve">Elda Luna-Nájera (D); Lupe Contreras (D)</t>
  </si>
  <si>
    <t xml:space="preserve">Brian Fernandez (D)</t>
  </si>
  <si>
    <t xml:space="preserve">Mariana Sandoval (D); Michele Peña (R)</t>
  </si>
  <si>
    <t xml:space="preserve">Analise Ortiz (D)</t>
  </si>
  <si>
    <t xml:space="preserve">Anna Abeytia (D); Lydia Hernandez (D)</t>
  </si>
  <si>
    <t xml:space="preserve">Timothy "Tim" Dunn (R)</t>
  </si>
  <si>
    <t xml:space="preserve">Michael Carbone (R); Nick Kupper (R)</t>
  </si>
  <si>
    <t xml:space="preserve">Flavio Bravo (D)</t>
  </si>
  <si>
    <t xml:space="preserve">Cesar Aguilar (D); Quantá Crews (D)</t>
  </si>
  <si>
    <t xml:space="preserve">Kevin Payne (R)</t>
  </si>
  <si>
    <t xml:space="preserve">Lisa Fink (R); Tony Rivero (R)</t>
  </si>
  <si>
    <t xml:space="preserve">Frank Carroll (R)</t>
  </si>
  <si>
    <t xml:space="preserve">Beverly Pingerelli (R); David Livingston (R)</t>
  </si>
  <si>
    <t xml:space="preserve">Janae Shamp (R)</t>
  </si>
  <si>
    <t xml:space="preserve">James Taylor (R); Steve Montenegro (R)</t>
  </si>
  <si>
    <t xml:space="preserve">Hildy Angius (R)</t>
  </si>
  <si>
    <t xml:space="preserve">John Gillette (R); Leo Biasiucci (R)</t>
  </si>
  <si>
    <t xml:space="preserve">Total</t>
  </si>
  <si>
    <t xml:space="preserve">Direct jobs and taxes sit in the district where the facility is located (Census 2024 TIGER boundaries). Ripple jobs are spread evenly across the 30 districts.</t>
  </si>
  <si>
    <t xml:space="preserve">Legislators: azleg.gov Member Roster, 57th Legislature 2nd Regular Session, active members as of 9/23/2026; party cross-checked against ALIS.</t>
  </si>
  <si>
    <t xml:space="preserve">Value Ledger (central case)</t>
  </si>
  <si>
    <t xml:space="preserve">Statewide ($/yr)</t>
  </si>
  <si>
    <t xml:space="preserve">Per Arizonan ($/yr)</t>
  </si>
  <si>
    <t xml:space="preserve">Basis</t>
  </si>
  <si>
    <t xml:space="preserve">GIVES</t>
  </si>
  <si>
    <t xml:space="preserve">Recurring property tax (operating facilities)</t>
  </si>
  <si>
    <t xml:space="preserve">Facilities sheet, operating rows</t>
  </si>
  <si>
    <t xml:space="preserve">State income tax on on-site payroll</t>
  </si>
  <si>
    <t xml:space="preserve">Contracting tax on construction under way (annualized)</t>
  </si>
  <si>
    <t xml:space="preserve">Under-construction contracting tax ÷ build years</t>
  </si>
  <si>
    <t xml:space="preserve">Total gives (direct)</t>
  </si>
  <si>
    <t xml:space="preserve">TAKES</t>
  </si>
  <si>
    <t xml:space="preserve">Equipment sales &amp; use tax exemption</t>
  </si>
  <si>
    <t xml:space="preserve">Assumptions</t>
  </si>
  <si>
    <t xml:space="preserve">Water consumed at scarcity value</t>
  </si>
  <si>
    <t xml:space="preserve">On-site AF × $/AF</t>
  </si>
  <si>
    <t xml:space="preserve">Grid cost shifted to households</t>
  </si>
  <si>
    <t xml:space="preserve">$/month × 12 × households</t>
  </si>
  <si>
    <t xml:space="preserve">Total takes</t>
  </si>
  <si>
    <t xml:space="preserve">Net public dividend</t>
  </si>
  <si>
    <t xml:space="preserve">Return on public cost (gives ÷ takes)</t>
  </si>
  <si>
    <t xml:space="preserve">Net public dividend — full-ripple basis (PwC)</t>
  </si>
  <si>
    <t xml:space="preserve">PwC 2026 AZ state &amp; local taxes minus takes</t>
  </si>
  <si>
    <t xml:space="preserve">Paycheck dividend (on-site payroll + annualized construction payroll)</t>
  </si>
  <si>
    <t xml:space="preserve">On-site water (acre-feet/yr)</t>
  </si>
  <si>
    <t xml:space="preserve">Water per Arizonan (gallons/day)</t>
  </si>
  <si>
    <t xml:space="preserve">Taxes + payroll per acre-foot</t>
  </si>
  <si>
    <t xml:space="preserve">Farm GDP per acre-foot (comparison)</t>
  </si>
  <si>
    <t xml:space="preserve">BEA / ADWR</t>
  </si>
  <si>
    <t xml:space="preserve">WHO RECEIVES IT</t>
  </si>
  <si>
    <t xml:space="preserve">State General Fund receives</t>
  </si>
  <si>
    <t xml:space="preserve">82% of income tax; 80% of the 5% state contracting rate plus 34.49% of the 20% distribution base (A.R.S. 42-5029)</t>
  </si>
  <si>
    <t xml:space="preserve">0.6% education sales tax (Classroom Site Fund etc.)</t>
  </si>
  <si>
    <t xml:space="preserve">Prop 301/123 education tax</t>
  </si>
  <si>
    <t xml:space="preserve">Cities, counties, schools &amp; districts receive</t>
  </si>
  <si>
    <t xml:space="preserve">Property tax, county &amp; city TPT, shared revenue</t>
  </si>
  <si>
    <t xml:space="preserve">Teachers the General Fund amount pays for</t>
  </si>
  <si>
    <t xml:space="preserve">Salary + benefits per teacher (Assumptions)</t>
  </si>
  <si>
    <t xml:space="preserve">Firefighters the local amount pays for</t>
  </si>
  <si>
    <t xml:space="preserve">Salary + pension + health per firefighter (Assumptions)</t>
  </si>
  <si>
    <t xml:space="preserve">Trade</t>
  </si>
  <si>
    <t xml:space="preserve">Union</t>
  </si>
  <si>
    <t xml:space="preserve">Arizona locals</t>
  </si>
  <si>
    <t xml:space="preserve">Share of craft hours (central)</t>
  </si>
  <si>
    <t xml:space="preserve">Union share (central)</t>
  </si>
  <si>
    <t xml:space="preserve">Union share (low)</t>
  </si>
  <si>
    <t xml:space="preserve">Union share (high)</t>
  </si>
  <si>
    <t xml:space="preserve">Construction job-years (built + under way)</t>
  </si>
  <si>
    <t xml:space="preserve">Est. union job-years</t>
  </si>
  <si>
    <t xml:space="preserve">Pipeline job-years</t>
  </si>
  <si>
    <t xml:space="preserve">Est. union pipeline job-years</t>
  </si>
  <si>
    <t xml:space="preserve">Built + under way job-years</t>
  </si>
  <si>
    <t xml:space="preserve">Electricians</t>
  </si>
  <si>
    <t xml:space="preserve">IBEW (inside wiremen)</t>
  </si>
  <si>
    <t xml:space="preserve">IBEW Local 640 (Phoenix; 'Maricopa County, parts of Pinal County and most of Arizona'), Local 570 (Tucson), Local 518 (Globe)</t>
  </si>
  <si>
    <t xml:space="preserve">Project Blue (100% union PLA) job-years</t>
  </si>
  <si>
    <t xml:space="preserve">Low-voltage, telecom &amp; controls</t>
  </si>
  <si>
    <t xml:space="preserve">IBEW (VDV/sound &amp; communications) / CWA / largely open shop</t>
  </si>
  <si>
    <t xml:space="preserve">IBEW Local 640, 570 - UNVERIFIED which AZ locals hold VDV agreements</t>
  </si>
  <si>
    <t xml:space="preserve">Pipefitters, plumbers, HVAC &amp; welders</t>
  </si>
  <si>
    <t xml:space="preserve">UA (United Association)</t>
  </si>
  <si>
    <t xml:space="preserve">UA Local 469 Arizona Pipe Trades (Phoenix), UA Local 741 Plumbers &amp; Pipefitters (Tucson)</t>
  </si>
  <si>
    <t xml:space="preserve">Fire sprinkler fitters</t>
  </si>
  <si>
    <t xml:space="preserve">UA (Road Sprinkler Fitters)</t>
  </si>
  <si>
    <t xml:space="preserve">Road Sprinkler Fitters Local 669 (national local; listed at Tucson by AZBTC)</t>
  </si>
  <si>
    <t xml:space="preserve">Sheet metal workers</t>
  </si>
  <si>
    <t xml:space="preserve">SMART</t>
  </si>
  <si>
    <t xml:space="preserve">SMART Sheet Metal Workers Local 359 (Phoenix &amp; Tucson)</t>
  </si>
  <si>
    <t xml:space="preserve">Ironworkers (structural &amp; rebar)</t>
  </si>
  <si>
    <t xml:space="preserve">Iron Workers</t>
  </si>
  <si>
    <t xml:space="preserve">Ironworkers Local 75 (structural, Phoenix), Regional Reinforcing Iron Workers Local 847 (Phoenix)</t>
  </si>
  <si>
    <t xml:space="preserve">Carpenters, drywall &amp; millwrights</t>
  </si>
  <si>
    <t xml:space="preserve">UBC Carpenters</t>
  </si>
  <si>
    <t xml:space="preserve">Southwest (Mountain States) Regional Council of Carpenters; Carpenters Local 1912 (Phoenix) per NLRB case 28-RD-200242; Millwrights AZ local UNVERIFIED</t>
  </si>
  <si>
    <t xml:space="preserve">Laborers</t>
  </si>
  <si>
    <t xml:space="preserve">LIUNA</t>
  </si>
  <si>
    <t xml:space="preserve">Laborers Local 1184 (Phoenix office; 'Jurisdiction: Arizona, excluding Mojave County'). Former Local 383 not listed by LECET Southwest</t>
  </si>
  <si>
    <t xml:space="preserve">Operating engineers</t>
  </si>
  <si>
    <t xml:space="preserve">IUOE</t>
  </si>
  <si>
    <t xml:space="preserve">IUOE Local 12 (Pasadena, CA; AZBTC member; site posts 'Arizona Wage Allocation Meeting - July 26, 2026'). Former Local 428 status UNVERIFIED</t>
  </si>
  <si>
    <t xml:space="preserve">Cement masons &amp; plasterers</t>
  </si>
  <si>
    <t xml:space="preserve">OPCMIA</t>
  </si>
  <si>
    <t xml:space="preserve">Operative Plasterers &amp; Cement Masons Local 254 (AZBTC member; Albuquerque address) - AZ coverage UNVERIFIED</t>
  </si>
  <si>
    <t xml:space="preserve">Painters &amp; glaziers</t>
  </si>
  <si>
    <t xml:space="preserve">IUPAT</t>
  </si>
  <si>
    <t xml:space="preserve">IUPAT District Council 36 (Phoenix)</t>
  </si>
  <si>
    <t xml:space="preserve">Insulators</t>
  </si>
  <si>
    <t xml:space="preserve">Heat &amp; Frost Insulators</t>
  </si>
  <si>
    <t xml:space="preserve">Heat &amp; Frost Insulators Local 73 (Phoenix)</t>
  </si>
  <si>
    <t xml:space="preserve">Roofers</t>
  </si>
  <si>
    <t xml:space="preserve">Roofers &amp; Waterproofers</t>
  </si>
  <si>
    <t xml:space="preserve">UNVERIFIED (Roofers Local 135 Phoenix - not confirmed from an opened source)</t>
  </si>
  <si>
    <t xml:space="preserve">Elevator constructors</t>
  </si>
  <si>
    <t xml:space="preserve">IUEC</t>
  </si>
  <si>
    <t xml:space="preserve">IUEC Local 140 (Phoenix)</t>
  </si>
  <si>
    <t xml:space="preserve">Teamsters</t>
  </si>
  <si>
    <t xml:space="preserve">IBT</t>
  </si>
  <si>
    <t xml:space="preserve">UNVERIFIED (Teamsters Local 104 Phoenix - not confirmed)</t>
  </si>
  <si>
    <t xml:space="preserve">All trades</t>
  </si>
  <si>
    <t xml:space="preserve">Method: union job-years = job-years x trade share of craft hours x union share; Project Blue counted 100% union under its project labor agreement. Low = national occupation union rate x (AZ construction 4.7% / US 12.0%); high = data center ceilings from industry claims; central = low + 1/3 of gap (model assumption). Sources: BLS/CPS union coverage 2025 (unionstats.com), SemiAnalysis and Cortex Construct craft mixes, SMART Local 359 (Project Blue PLA). Trade shares other than electrical, mechanical and iron are model assumptions.</t>
  </si>
  <si>
    <t xml:space="preserve">Facility ID</t>
  </si>
  <si>
    <t xml:space="preserve">Source title</t>
  </si>
  <si>
    <t xml:space="preserve">Date</t>
  </si>
  <si>
    <t xml:space="preserve">URL</t>
  </si>
  <si>
    <t xml:space="preserve">Arizona Data Centers tracker - Arizona AI</t>
  </si>
  <si>
    <t xml:space="preserve">2026-09-23 (accessed)</t>
  </si>
  <si>
    <t xml:space="preserve">https://arizonaai.com/data-centers</t>
  </si>
  <si>
    <t xml:space="preserve">Phoenix Data Centers - Data Center Map (facility directory)</t>
  </si>
  <si>
    <t xml:space="preserve">https://www.datacentermap.com/usa/arizona/phoenix/</t>
  </si>
  <si>
    <t xml:space="preserve">EdgeCore Announces Metro Phoenix Expansion to 450MW</t>
  </si>
  <si>
    <t xml:space="preserve">https://edgecore.com/edgecore-digital-infrastructure-announces-expansion-of-its-metro-phoenix-data-center-market-to-over-450-mw/</t>
  </si>
  <si>
    <t xml:space="preserve">EdgeCore expands Mesa data center campus in Arizona</t>
  </si>
  <si>
    <t xml:space="preserve">https://www.datacenterdynamics.com/en/news/edgecore-expands-mesa-data-center-campus-in-arizona/</t>
  </si>
  <si>
    <t xml:space="preserve">EdgeCore expands Mesa data center campus to over 450 MW</t>
  </si>
  <si>
    <t xml:space="preserve">https://azbigmedia.com/real-estate/edgecore-expands-mesa-data-center-campus-to-over-450-mw/</t>
  </si>
  <si>
    <t xml:space="preserve">Compute Atlas facility record (aggregator; cites sources listed)</t>
  </si>
  <si>
    <t xml:space="preserve">https://www.compute-atlas.com/facilities/edgecore-mesa-az</t>
  </si>
  <si>
    <t xml:space="preserve">Compass Datacenters Begins Construction of First Two Data Centers on Phoenix Campus</t>
  </si>
  <si>
    <t xml:space="preserve">https://www.compassdatacenters.com/news/compass-datacenters-begins-construction-of-first-two-data-centers-on-phoenix-campus/</t>
  </si>
  <si>
    <t xml:space="preserve">Compass Datacenters will build 225-acre Goodyear campus</t>
  </si>
  <si>
    <t xml:space="preserve">https://azbigmedia.com/business/economic-development/compass-datacenters-will-build-225-acre-goodyear-campus/</t>
  </si>
  <si>
    <t xml:space="preserve">https://www.compute-atlas.com/facilities/compass-goodyear-campus-az</t>
  </si>
  <si>
    <t xml:space="preserve">Microsoft to Build World-Class Datacenters in Goodyear, AZ - City of Goodyear</t>
  </si>
  <si>
    <t xml:space="preserve">https://www.goodyearaz.gov/Home/Components/News/News/9849</t>
  </si>
  <si>
    <t xml:space="preserve">Microsoft brings 3 data centers, 1,100 jobs to West Valley - AZ Big Media</t>
  </si>
  <si>
    <t xml:space="preserve">https://azbigmedia.com/business/economic-development/microsoft-will-build-3-data-centers-in-the-west-valley/</t>
  </si>
  <si>
    <t xml:space="preserve">Microsoft purchases 100 acres next to Goodyear campus</t>
  </si>
  <si>
    <t xml:space="preserve">https://www.datacenterdynamics.com/en/news/microsoft-purchases-100-acres-next-to-existing-data-center-campus-in-goodyear-arizona/</t>
  </si>
  <si>
    <t xml:space="preserve">Microsoft Builds World-Class Datacenter Campus in Goodyear</t>
  </si>
  <si>
    <t xml:space="preserve">https://www.goodyearaz.gov/Home/Components/News/News/9847/1127?arch=1</t>
  </si>
  <si>
    <t xml:space="preserve">Microsoft, Goodyear Update Development Agreement</t>
  </si>
  <si>
    <t xml:space="preserve">https://azbex.com/local-news/microsoft-goodyear-update-development-agreement/</t>
  </si>
  <si>
    <t xml:space="preserve">Microsoft — Greater Phoenix, Arizona datacenter community</t>
  </si>
  <si>
    <t xml:space="preserve">https://local.microsoft.com/communities/americas/greater-phoenix/</t>
  </si>
  <si>
    <t xml:space="preserve">https://www.compute-atlas.com/facilities/microsoft-goodyear-az</t>
  </si>
  <si>
    <t xml:space="preserve">Stream Data Centers - Phoenix/Goodyear locations page</t>
  </si>
  <si>
    <t xml:space="preserve">https://www.streamdatacenters.com/locations/phoenix/</t>
  </si>
  <si>
    <t xml:space="preserve">Stream Data Centers — "Booming in The Desert: Stream Commissions New Phoenix Data Center"</t>
  </si>
  <si>
    <t xml:space="preserve">https://www.streamdatacenters.com/news/booming-in-the-desert-stream-commissions-new-phoenix-data-center/</t>
  </si>
  <si>
    <t xml:space="preserve">DataCenterDynamics — "Stream Data Centers opens Phoenix I facility in Goodyear, Arizona"</t>
  </si>
  <si>
    <t xml:space="preserve">https://www.datacenterdynamics.com/en/news/stream-data-centers-opens-phoenix-i-facility-goodyear-arizona/</t>
  </si>
  <si>
    <t xml:space="preserve">Stream Data Centers Goodyear campus case study — 'Evaporative cooling is not sustainable in Metro Phoenix, so our design uses air-cooled chillers with a closed-loop water system.'</t>
  </si>
  <si>
    <t xml:space="preserve">https://www.streamdatacenters.com/wp-content/uploads/2026/01/SDC-Goodyear-CaseStudy-251218.pdf</t>
  </si>
  <si>
    <t xml:space="preserve">https://www.compute-atlas.com/facilities/stream-data-centers-phxa-phoenix-i-vii-goodyear-campus-az</t>
  </si>
  <si>
    <t xml:space="preserve">NTT Phoenix PH1 Data Center - NTT facility directory</t>
  </si>
  <si>
    <t xml:space="preserve">https://services.global.ntt/en-us/services-and-products/global-data-centers/global-locations/americas/phoenix-ph1-data-center</t>
  </si>
  <si>
    <t xml:space="preserve">8 Metro Phoenix data center developments to watch - Arizona Technology Council</t>
  </si>
  <si>
    <t xml:space="preserve">2021-06-08</t>
  </si>
  <si>
    <t xml:space="preserve">https://www.aztechcouncil.org/8-metro-phoenix-data-center-developments-to-watch/</t>
  </si>
  <si>
    <t xml:space="preserve">https://www.compute-atlas.com/facilities/ntt-phoenix-ph1-data-center-az</t>
  </si>
  <si>
    <t xml:space="preserve">Phoenix Data Center Market - Baxtel (facility directory)</t>
  </si>
  <si>
    <t xml:space="preserve">https://baxtel.com/data-center/phoenix</t>
  </si>
  <si>
    <t xml:space="preserve">Data Centers in Phoenix, Arizona — STACK Infrastructure</t>
  </si>
  <si>
    <t xml:space="preserve">https://www.stackinfra.com/locations/americas/phoenix/</t>
  </si>
  <si>
    <t xml:space="preserve">https://www.compute-atlas.com/facilities/stack-phx01-avondale-az</t>
  </si>
  <si>
    <t xml:space="preserve">Phoenix 2 — QTS Data Centers</t>
  </si>
  <si>
    <t xml:space="preserve">https://q.com/data-centers/phoenix-2/</t>
  </si>
  <si>
    <t xml:space="preserve">https://www.compute-atlas.com/facilities/qts-phoenix-2-az</t>
  </si>
  <si>
    <t xml:space="preserve">Aligned facility directory</t>
  </si>
  <si>
    <t xml:space="preserve">https://aligneddc.com/phoenix/</t>
  </si>
  <si>
    <t xml:space="preserve">DCD — Phoenix data center will have 63MW on-site generation</t>
  </si>
  <si>
    <t xml:space="preserve">https://www.datacenterdynamics.com/en/news/phoenix-data-center-will-have-63mw-on-site-generation/</t>
  </si>
  <si>
    <t xml:space="preserve">Aligned — Power Reliability is a Big Driver for Aligned Data Centers in Phoenix</t>
  </si>
  <si>
    <t xml:space="preserve">https://aligneddc.com/power-reliability-is-a-big-driver-for-aligned-data-centers-in-phoenix/</t>
  </si>
  <si>
    <t xml:space="preserve">https://www.compute-atlas.com/facilities/aligned-phx-01-02-03-az</t>
  </si>
  <si>
    <t xml:space="preserve">Vantage facility directory</t>
  </si>
  <si>
    <t xml:space="preserve">https://vantage-dc.com/data-center-locations/north-america/phoenix-arizona/</t>
  </si>
  <si>
    <t xml:space="preserve">https://www.compute-atlas.com/facilities/vantage-phoenix-campus-goodyear-az-az</t>
  </si>
  <si>
    <t xml:space="preserve">Chandler, AZ: PHX1–PHX8 | CyrusOne</t>
  </si>
  <si>
    <t xml:space="preserve">https://www.cyrusone.com/data-centers/north-america/chandler-arizona</t>
  </si>
  <si>
    <t xml:space="preserve">https://www.compute-atlas.com/facilities/cyrusone-chandler-phx1-phx8-az</t>
  </si>
  <si>
    <t xml:space="preserve">Grand opening for Apple's Arizona Data and Global Command Center in Mesa — $2B, 1.3M sq ft</t>
  </si>
  <si>
    <t xml:space="preserve">https://mesanow.org/news/public/article/2149</t>
  </si>
  <si>
    <t xml:space="preserve">Step Inside Apple's Data Center in Arizona — 1.3M sq ft, latest expansion completed April 2018</t>
  </si>
  <si>
    <t xml:space="preserve">https://www.datacenterknowledge.com/business/step-inside-apple-s-data-center-in-arizona-courtesy-of-the-arizona-republic</t>
  </si>
  <si>
    <t xml:space="preserve">Apple plants crowning achievement for renewable energy in Mesa (Arizona Technology Council)</t>
  </si>
  <si>
    <t xml:space="preserve">https://www.aztechcouncil.org/tech_magazine/apple-plants-crowning-achievement-for-renewable-energy-in-mesa/</t>
  </si>
  <si>
    <t xml:space="preserve">Apple is building a solar-powered data 'command center' in Arizona (Quartz)</t>
  </si>
  <si>
    <t xml:space="preserve">https://qz.com/337842/apple-is-building-a-solar-powered-data-command-center-in-arizona</t>
  </si>
  <si>
    <t xml:space="preserve">Federal Register, FTZ Board docket S-5-2014 — 'The proposed subzone (83.17 acres) is located at 3740 S. Signal Butte Rd, Mesa, Arizona.'</t>
  </si>
  <si>
    <t xml:space="preserve">https://www.federalregister.gov/documents/full_text/text/2014/01/23/2014-01296.txt</t>
  </si>
  <si>
    <t xml:space="preserve">Cult of Mac — 'Approximately 150 people work at the Mesa facility.'</t>
  </si>
  <si>
    <t xml:space="preserve">https://www.cultofmac.com/news/apple-data-center-mesa-arizona-details</t>
  </si>
  <si>
    <t xml:space="preserve">Federal Register — approval of FTZ Subzone 221A for the Mesa site</t>
  </si>
  <si>
    <t xml:space="preserve">https://www.federalregister.gov/documents/full_text/text/2014/03/27/2014-06841.txt</t>
  </si>
  <si>
    <t xml:space="preserve">https://www.compute-atlas.com/facilities/apple-mesa-az</t>
  </si>
  <si>
    <t xml:space="preserve">Google breaks ground on Mesa data center campus in Arizona</t>
  </si>
  <si>
    <t xml:space="preserve">https://www.datacenterdynamics.com/en/news/google-breaks-ground-on-mesa-data-center-campus-in-arizona/</t>
  </si>
  <si>
    <t xml:space="preserve">Google Planning Next Phase of Mesa Data Center Facility</t>
  </si>
  <si>
    <t xml:space="preserve">https://azbex.com/planning-development/google-planning-next-phase-of-mesa-data-center-facility/</t>
  </si>
  <si>
    <t xml:space="preserve">Mesa Council approves $1bn Google data center, with $16m in tax breaks</t>
  </si>
  <si>
    <t xml:space="preserve">https://www.datacenterdynamics.com/en/news/mesa-council-approves-1bn-google-arizona-data-center-16m-tax-breaks/</t>
  </si>
  <si>
    <t xml:space="preserve">City of Mesa resolution authorising a development agreement and lease with Stone Applications, LLC for ~187 acres at S Sossaman Rd and E Elliot Rd (approved 1 July 2019)</t>
  </si>
  <si>
    <t xml:space="preserve">https://mesa.legistar.com/View.ashx?M=F&amp;ID=7431552&amp;GUID=F48E7DF7-C483-4237-8F54-83D08F5E1935</t>
  </si>
  <si>
    <t xml:space="preserve">City of Mesa Office of Economic Development study-session presentation, 27 June 2019 — GPLET term: ~$32,967,000 excise payable over 25 years vs ~$48,916,134 ad valorem otherwise</t>
  </si>
  <si>
    <t xml:space="preserve">https://mesa.legistar.com/View.ashx?M=F&amp;ID=7431554&amp;GUID=560CC2A3-8A23-4144-8CCB-CB9D273698B2</t>
  </si>
  <si>
    <t xml:space="preserve">Executed GPLET Lease between the City of Mesa and Stone Applications, LLC (City of Mesa matter 19-0809) — states no abatement amount; net annual rent of $10,000 and an express disclaimer that GPLET benefits are not guaranteed during the term</t>
  </si>
  <si>
    <t xml:space="preserve">https://legistar1.granicus.com/Mesa/attachments/eb9e229a-330d-417b-bf35-95ed173402fc.doc</t>
  </si>
  <si>
    <t xml:space="preserve">Executed Development Agreement with exhibits, City of Mesa and Stone Applications, LLC (matter 19-0809)</t>
  </si>
  <si>
    <t xml:space="preserve">https://legistar1.granicus.com/Mesa/attachments/e2e1b966-a066-4ba7-b9a6-ec11167a332d.pdf</t>
  </si>
  <si>
    <t xml:space="preserve">https://www.compute-atlas.com/facilities/google-redhawk-mesa-az</t>
  </si>
  <si>
    <t xml:space="preserve">2 New Data Centers Coming to Chandler - AZBEX</t>
  </si>
  <si>
    <t xml:space="preserve">2022</t>
  </si>
  <si>
    <t xml:space="preserve">https://azbex.com/planning-development/2-new-data-centers-coming-to-chandler/</t>
  </si>
  <si>
    <t xml:space="preserve">Aligned PHX04, 2501 S Price Rd - Data Center Map</t>
  </si>
  <si>
    <t xml:space="preserve">https://www.datacentermap.com/usa/arizona/phoenix/aligned-phx04/</t>
  </si>
  <si>
    <t xml:space="preserve">Aligned PHX-06, 2955 W Innovation St - datacenterHawk</t>
  </si>
  <si>
    <t xml:space="preserve">https://datacenterhawk.com/marketplace/providers/aligned-data-centers/2955-w-innovation-street/phx-06</t>
  </si>
  <si>
    <t xml:space="preserve">Iron Mountain: AZP3 - Baxtel</t>
  </si>
  <si>
    <t xml:space="preserve">https://baxtel.com/data-center/iron-mountain-azp3</t>
  </si>
  <si>
    <t xml:space="preserve">Iron Mountain facility directory</t>
  </si>
  <si>
    <t xml:space="preserve">https://www.ironmountain.com/data-centers/locations/phoenix-data-center</t>
  </si>
  <si>
    <t xml:space="preserve">https://www.compute-atlas.com/facilities/iron-mountain-azp-1-az</t>
  </si>
  <si>
    <t xml:space="preserve">Mesa, we are online! — Meta's Mesa data center serving traffic (Jan 2025), $1B+ in Arizona</t>
  </si>
  <si>
    <t xml:space="preserve">https://datacenters.atmeta.com/2025/01/mesa-we-are-online/</t>
  </si>
  <si>
    <t xml:space="preserve">Meta Mesa, AZ Campus — came online 2025, redesigned for AI workloads, ~396 acres</t>
  </si>
  <si>
    <t xml:space="preserve">https://baxtel.com/data-center/meta-mesa-az-campus</t>
  </si>
  <si>
    <t xml:space="preserve">SRP - Meta Teams Up with SRP and Ørsted to Support Data Center with Clean Energy</t>
  </si>
  <si>
    <t xml:space="preserve">https://media.srpnet.com/meta-teams-up-with-srp-and-rsted-to-support-data-center-with-clean-energy-from-new-solar-and-battery--project/</t>
  </si>
  <si>
    <t xml:space="preserve">Meta Data Centers — Meta Mesa Data Center info sheet (Meta's own newsroom)</t>
  </si>
  <si>
    <t xml:space="preserve">https://datacenters.atmeta.com/asset/mesa-data-center-info-sheet/</t>
  </si>
  <si>
    <t xml:space="preserve">Arizona Technology Council — Meta expands plans for proposed large-scale Mesa data center</t>
  </si>
  <si>
    <t xml:space="preserve">https://www.aztechcouncil.org/meta-expands-plans-for-proposed-large-scale-mesa-data-center/</t>
  </si>
  <si>
    <t xml:space="preserve">City of Mesa Council Report, file 21-0552 (17 May 2021) — Development Agreement and Sustainable Water Service Agreement with Redale LLC for ~396 acres; Water Allowance rising to 1,400 acre-feet/year at Phase 3</t>
  </si>
  <si>
    <t xml:space="preserve">https://legistar1.granicus.com/Mesa/attachments/7e390610-b558-426d-aa10-c7aa2825530d.doc</t>
  </si>
  <si>
    <t xml:space="preserve">https://www.compute-atlas.com/facilities/meta-mesa-az</t>
  </si>
  <si>
    <t xml:space="preserve">Digital Realty official facility page (PHX15, 2121 S Price Road, Chandler)</t>
  </si>
  <si>
    <t xml:space="preserve">https://www.digitalrealty.com/data-centers/americas/phoenix/phx15</t>
  </si>
  <si>
    <t xml:space="preserve">https://www.compute-atlas.com/facilities/digital-realty-phx15-az</t>
  </si>
  <si>
    <t xml:space="preserve">Edged US Opens Waterless, AI-Ready Data Center in Arizona's Silicon Desert Tech Corridor</t>
  </si>
  <si>
    <t xml:space="preserve">https://edged.us/news/edged-us-opens-waterless-ai-ready-data-center-in-the-heart-of-arizonas-silicon-desert-tech-corridor</t>
  </si>
  <si>
    <t xml:space="preserve">https://www.compute-atlas.com/facilities/edged-mesa-az</t>
  </si>
  <si>
    <t xml:space="preserve">Digital Realty Phoenix metro directory page (facility code PHX, physically in Tempe)</t>
  </si>
  <si>
    <t xml:space="preserve">https://www.digitalrealty.com/data-centers/americas/phoenix</t>
  </si>
  <si>
    <t xml:space="preserve">https://www.compute-atlas.com/facilities/digital-realty-phx-tempe-az</t>
  </si>
  <si>
    <t xml:space="preserve">LPC Takes Over Frye Road Data Center Expansion - AZBEX</t>
  </si>
  <si>
    <t xml:space="preserve">2025-11-04</t>
  </si>
  <si>
    <t xml:space="preserve">https://azbex.com/planning-development/lpc-takes-over-frye-road-data-center-expansion/</t>
  </si>
  <si>
    <t xml:space="preserve">Phoenix Data Center — H5 Data Centers</t>
  </si>
  <si>
    <t xml:space="preserve">https://h5datacenters.com/phoenix-data-center.html</t>
  </si>
  <si>
    <t xml:space="preserve">https://www.compute-atlas.com/facilities/h5-data-centers-chandler-az</t>
  </si>
  <si>
    <t xml:space="preserve">Centersquare (Cyxtera/Evoque) facility directory</t>
  </si>
  <si>
    <t xml:space="preserve">https://www.csquare.com/data-centers/phoenix</t>
  </si>
  <si>
    <t xml:space="preserve">https://www.compute-atlas.com/facilities/centersquare-phx3-az</t>
  </si>
  <si>
    <t xml:space="preserve">Centersquare Phoenix data centers directory</t>
  </si>
  <si>
    <t xml:space="preserve">https://www.ironmountain.com/data-centers/locations/scottsdale-data-center</t>
  </si>
  <si>
    <t xml:space="preserve">https://www.compute-atlas.com/facilities/iron-mountain-azs-1-az</t>
  </si>
  <si>
    <t xml:space="preserve">Flexential facility directory</t>
  </si>
  <si>
    <t xml:space="preserve">https://www.flexential.com/data-centers/az/phoenix/deer-valley-data-center</t>
  </si>
  <si>
    <t xml:space="preserve">https://www.compute-atlas.com/facilities/flexential-phoenix-deer-valley-az</t>
  </si>
  <si>
    <t xml:space="preserve">Microsoft files to expand El Mirage data center campus in Arizona - DCD</t>
  </si>
  <si>
    <t xml:space="preserve">2024-11</t>
  </si>
  <si>
    <t xml:space="preserve">https://www.datacenterdynamics.com/en/news/microsoft-files-to-expand-el-mirage-data-center-campus-in-arizona/</t>
  </si>
  <si>
    <t xml:space="preserve">Microsoft Data Center Planned in El Mirage — PHX-83 fifth building</t>
  </si>
  <si>
    <t xml:space="preserve">https://azbex.com/planning-development/microsoft-data-center-new-spec-industrial-planned-in-el-mirage/</t>
  </si>
  <si>
    <t xml:space="preserve">Microsoft acquires nearly 300 acres for data center growth in El Mirage</t>
  </si>
  <si>
    <t xml:space="preserve">https://www.aztechcouncil.org/microsoft-buys-land-el-mirage-data-center/</t>
  </si>
  <si>
    <t xml:space="preserve">Microsoft files to expand El Mirage data center campus in Arizona</t>
  </si>
  <si>
    <t xml:space="preserve">https://www.compute-atlas.com/facilities/microsoft-el-mirage-az</t>
  </si>
  <si>
    <t xml:space="preserve">New Data Center Planned in South Phoenix - AZBEX</t>
  </si>
  <si>
    <t xml:space="preserve">2025-04-04</t>
  </si>
  <si>
    <t xml:space="preserve">https://azbex.com/planning-development/new-data-center-planned-in-south-phoenix/</t>
  </si>
  <si>
    <t xml:space="preserve">Phoenix, Arizona - Radius DC</t>
  </si>
  <si>
    <t xml:space="preserve">https://www.radius-dc.com/insights-resources/phoenix-arizona</t>
  </si>
  <si>
    <t xml:space="preserve">Lumen Technologies facility directory</t>
  </si>
  <si>
    <t xml:space="preserve">https://www.datacenters.com/lumen-phoenix-1</t>
  </si>
  <si>
    <t xml:space="preserve">https://www.compute-atlas.com/facilities/lumen-phoenix-1-az</t>
  </si>
  <si>
    <t xml:space="preserve">Tucson Data Centers - Data Center Map (facility directory)</t>
  </si>
  <si>
    <t xml:space="preserve">https://www.datacentermap.com/usa/arizona/tucson/</t>
  </si>
  <si>
    <t xml:space="preserve">Microsoft Goodyear Airpark Campus - Data Center Map</t>
  </si>
  <si>
    <t xml:space="preserve">https://www.datacentermap.com/usa/arizona/phoenix/microsoft-goodyear-airpark-campus/</t>
  </si>
  <si>
    <t xml:space="preserve">Beale Infrastructure plans second data center campus outside Tucson - DCD</t>
  </si>
  <si>
    <t xml:space="preserve">2025-09</t>
  </si>
  <si>
    <t xml:space="preserve">https://www.datacenterdynamics.com/en/news/beale-infrastructure-plans-second-data-center-campus-outside-tucson-arizona-and-two-outside-tulsa-oklahoma/</t>
  </si>
  <si>
    <t xml:space="preserve">Two Southern Arizona data centers move forward - AZFamily</t>
  </si>
  <si>
    <t xml:space="preserve">2026-01-09</t>
  </si>
  <si>
    <t xml:space="preserve">https://www.azfamily.com/2026/01/09/two-southern-arizona-data-centers-move-forward-so-do-fights-over-power-water-growth/</t>
  </si>
  <si>
    <t xml:space="preserve">Pima County NDA confirms Amazon is behind Project Blue data center</t>
  </si>
  <si>
    <t xml:space="preserve">https://azluminaria.org/2025/10/01/pima-county-nda-confirms-amazon-is-behind-project-blue-data-center/</t>
  </si>
  <si>
    <t xml:space="preserve">Construction begins on first hyper-scale data center in Pima County</t>
  </si>
  <si>
    <t xml:space="preserve">https://www.kold.com/2026/04/25/construction-begins-first-hyper-scale-data-center-pima-county/</t>
  </si>
  <si>
    <t xml:space="preserve">As Project Blue data center construction starts near Tucson, protesters rally outside</t>
  </si>
  <si>
    <t xml:space="preserve">https://www.kjzz.org/fronteras-desk/2026-04-27/as-project-blue-data-center-construction-starts-near-tucson-protesters-rally-outside</t>
  </si>
  <si>
    <t xml:space="preserve">Pima County Administrator memo to the Board of Supervisors, 'Update on Project Blue' (17 Sept 2025), with the Beale Infrastructure letter attached — 'we have selected an air cooling technology that uses a closed-loop system... Beale's air cooled design will consume no water, potable or otherwise, for industrial cooling.'</t>
  </si>
  <si>
    <t xml:space="preserve">https://content.civicplus.com/api/assets/2192e865-fe7e-48f4-8a0c-7c1c8b5cd32c</t>
  </si>
  <si>
    <t xml:space="preserve">Pima County official Project Blue FAQ, Economic Impact Study section — "180 new full-time, permanent jobs created by the third year of operations in 2029."</t>
  </si>
  <si>
    <t xml:space="preserve">https://www.pima.gov/3552/Project-Blue-FAQ</t>
  </si>
  <si>
    <t xml:space="preserve">Construction Begins on Project Blue, Pima County's First Hyperscale Data Center</t>
  </si>
  <si>
    <t xml:space="preserve">https://constructionreviewonline.com/construction-begins-on-project-blue-pima-countys-first-hyperscale-data-center/</t>
  </si>
  <si>
    <t xml:space="preserve">https://www.compute-atlas.com/facilities/beale-project-blue-pima-county-az</t>
  </si>
  <si>
    <t xml:space="preserve">Novva Data Centers Announces New Campus in Mesa</t>
  </si>
  <si>
    <t xml:space="preserve">https://www.novva.com/media-center/novva-data-centers-announces-new-campus-in-mesa/</t>
  </si>
  <si>
    <t xml:space="preserve">Novva confirmed as behind Project Borealis data center campus in Phoenix</t>
  </si>
  <si>
    <t xml:space="preserve">https://www.datacenterdynamics.com/en/news/novva-confirmed-as-behind-project-borealis-data-center-campus-in-phoenix-arizona/</t>
  </si>
  <si>
    <t xml:space="preserve">City of Mesa case ZON24-00291 ('Project Borealis') Project Narrative — 'Each of the data hall buildings will utilize a closed-loop water cooling system... Crucially, no evaporative methods are used for reducing air temperature'</t>
  </si>
  <si>
    <t xml:space="preserve">https://legistar1.granicus.com/Mesa/attachments/d6c1b1ca-28ad-400c-8d28-a59aca19080e.pdf</t>
  </si>
  <si>
    <t xml:space="preserve">City of Mesa Planning Division staff report, ZON24-00291 — 'Site Size: 159± acres', parcel 304-31-141</t>
  </si>
  <si>
    <t xml:space="preserve">https://legistar1.granicus.com/Mesa/attachments/a49b6d5a-09db-4b36-845e-756af027c367.doc</t>
  </si>
  <si>
    <t xml:space="preserve">https://www.prnewswire.com/news-releases/novva-data-centers-announces-new-campus-in-mesa-302227476.html</t>
  </si>
  <si>
    <t xml:space="preserve">https://www.compute-atlas.com/facilities/novva-mesa-az</t>
  </si>
  <si>
    <t xml:space="preserve">PHX02 — STACK Infrastructure</t>
  </si>
  <si>
    <t xml:space="preserve">https://www.stackinfra.com/locations/americas/phoenix/phx02/</t>
  </si>
  <si>
    <t xml:space="preserve">STACK Infrastructure PHX02 Building 1, 800 N 40th Street, Phoenix</t>
  </si>
  <si>
    <t xml:space="preserve">https://datacenterhawk.com/marketplace/providers/stack-infrastructure/800-n-40th-street/phx02-building-1</t>
  </si>
  <si>
    <t xml:space="preserve">https://www.compute-atlas.com/facilities/stack-phx02-phoenix-az</t>
  </si>
  <si>
    <t xml:space="preserve">Prime Data Centers breaks ground on three buildings at its 240MW Phoenix campus, advancing $3 billion investment in Avondale</t>
  </si>
  <si>
    <t xml:space="preserve">https://primedatacenters.com/news/prime-data-centers-breaks-ground-on-three-buildings-at-its-240mw-phoenix-campus-advancing-3billion-dollar-investment-in-avondale/</t>
  </si>
  <si>
    <t xml:space="preserve">Prime Data Centers PHX01 tech sheet — spec table: 'UTILITY PROVIDER SRP', 'ACRES 66.5', 'CRITICAL IT LOAD 240MW'; 'a closed-loop cooling system engineered for zero process water use during operations'</t>
  </si>
  <si>
    <t xml:space="preserve">https://primedatacenters.com/wp-content/uploads/2025/10/PDC_Phoenix_TechSheet_PHX01_04.pdf</t>
  </si>
  <si>
    <t xml:space="preserve">https://www.compute-atlas.com/facilities/prime-avondale-az</t>
  </si>
  <si>
    <t xml:space="preserve">MD-PHX1 (Phoenix) - Menlo Digital</t>
  </si>
  <si>
    <t xml:space="preserve">https://menlo-digital.com/portfolio/md-phx1-phoenix/</t>
  </si>
  <si>
    <t xml:space="preserve">Menlo Digital MD-PX1 campus - Data Center Map</t>
  </si>
  <si>
    <t xml:space="preserve">https://www.datacentermap.com/usa/arizona/phoenix/menlo-digital-md-px1-campus/</t>
  </si>
  <si>
    <t xml:space="preserve">DatacenterDynamics: EdgeConneX files for new 1M sq ft data center campus in Mesa, Arizona</t>
  </si>
  <si>
    <t xml:space="preserve">https://www.datacenterdynamics.com/en/news/edgeconnex-files-for-new-1-million-sq-ft-data-center-campus-in-mesa-arizona/</t>
  </si>
  <si>
    <t xml:space="preserve">https://www.compute-atlas.com/facilities/edgeconnex-mesa-campus-phx11-3302-s-hawes-rd-az</t>
  </si>
  <si>
    <t xml:space="preserve">AWS plots four data centers in Mesa, Arizona - DCD</t>
  </si>
  <si>
    <t xml:space="preserve">2023-09</t>
  </si>
  <si>
    <t xml:space="preserve">https://www.datacenterdynamics.com/en/news/aws-plots-four-data-centers-in-mesa-arizona/</t>
  </si>
  <si>
    <t xml:space="preserve">Amazon submits plans for multiple data centers in Mesa - Arizona Technology Council</t>
  </si>
  <si>
    <t xml:space="preserve">2023-09-27</t>
  </si>
  <si>
    <t xml:space="preserve">https://www.aztechcouncil.org/amazon-submits-plans-for-multiple-data-centers-in-mesa/</t>
  </si>
  <si>
    <t xml:space="preserve">Amazon AWS PHX - 9848 E Pecos Road - Data Center Map</t>
  </si>
  <si>
    <t xml:space="preserve">https://www.datacentermap.com/usa/arizona/phoenix/amazon-aws-phx-9848-e-pecos-road/</t>
  </si>
  <si>
    <t xml:space="preserve">Aligned Data Centers breaks ground in Glendale, expanding Arizona infrastructure</t>
  </si>
  <si>
    <t xml:space="preserve">https://news.constructconnect.com/aligned-data-centers-breaks-ground-in-glendale-expanding-arizona-infrastructure</t>
  </si>
  <si>
    <t xml:space="preserve">Aligned Data Centers breaks ground on Glendale facility (APS 230 kV line; closed-loop cooling)</t>
  </si>
  <si>
    <t xml:space="preserve">https://dcnnmagazine.com/data-centres/aligned-data-centers-breaks-ground-on-glendale-facility/</t>
  </si>
  <si>
    <t xml:space="preserve">Aligned Data Centers breaks ground - Glendale mayor praises PHX-13</t>
  </si>
  <si>
    <t xml:space="preserve">https://www.glendalestar.com/news/aligned-data-centers-breaks-ground/article_4c7a2620-ccc3-4821-a236-dbfedb40ae85.html</t>
  </si>
  <si>
    <t xml:space="preserve">Aligned breaks ground on data center in Phoenix, Arizona ($86.5M for 100 acres)</t>
  </si>
  <si>
    <t xml:space="preserve">https://www.datacenterdynamics.com/en/news/aligned-breaks-ground-on-data-center-in-phoenix-arizona/</t>
  </si>
  <si>
    <t xml:space="preserve">ConstructConnect — Aligned Data Centers Breaks Ground on PHX-13 Facility</t>
  </si>
  <si>
    <t xml:space="preserve">https://www.constructconnect.com/construction-economic-news/aligned-data-centers-breaks-ground-on-phx-13-facility-expanding-arizona-infrastructure</t>
  </si>
  <si>
    <t xml:space="preserve">Aligned Data Centers Breaks Ground on Phx-13 Facility</t>
  </si>
  <si>
    <t xml:space="preserve">https://www.glendaleaz.gov/Business/Economic-Development/Economic-Development-News/2025/Aligned-Data-Centers-Breaks-Ground-on-Phx-13-Facility</t>
  </si>
  <si>
    <t xml:space="preserve">https://www.compute-atlas.com/facilities/aligned-phx13-glendale-az</t>
  </si>
  <si>
    <t xml:space="preserve">5C Data Centers Announces New Data Center Region in Phoenix, Arizona</t>
  </si>
  <si>
    <t xml:space="preserve">https://www.prnewswire.com/news-releases/5c-data-centers-announces-new-data-center-region-in-phoenix-arizona-302252217.html</t>
  </si>
  <si>
    <t xml:space="preserve">5C Data Centers announces new data center region in Phoenix</t>
  </si>
  <si>
    <t xml:space="preserve">https://www.gpec.org/news/5c-data-centers-new-data-center-region-in-phoenix/</t>
  </si>
  <si>
    <t xml:space="preserve">5CDC: Phoenix PHX01 Data Center</t>
  </si>
  <si>
    <t xml:space="preserve">https://baxtel.com/data-center/5cdc-phoenix-phx01</t>
  </si>
  <si>
    <t xml:space="preserve">https://www.compute-atlas.com/facilities/5c-data-centers-phx01-phoenix-az</t>
  </si>
  <si>
    <t xml:space="preserve">QTS acquires 200 acres in Avondale area of Phoenix, Arizona - DCD</t>
  </si>
  <si>
    <t xml:space="preserve">2024-07</t>
  </si>
  <si>
    <t xml:space="preserve">https://www.datacenterdynamics.com/en/news/qts-acquires-200-acres-in-avondale-area-of-phoenix-arizona/</t>
  </si>
  <si>
    <t xml:space="preserve">QTS Avondale - Data Center Map</t>
  </si>
  <si>
    <t xml:space="preserve">https://www.datacentermap.com/usa/arizona/phoenix/qts-avondale/</t>
  </si>
  <si>
    <t xml:space="preserve">QTS: Hermosa Ranch - Baxtel</t>
  </si>
  <si>
    <t xml:space="preserve">https://baxtel.com/data-center/qts-hermosa-ranch</t>
  </si>
  <si>
    <t xml:space="preserve">Phoenix 4 — QTS Data Centers</t>
  </si>
  <si>
    <t xml:space="preserve">https://q.com/data-centers/phoenix-4/</t>
  </si>
  <si>
    <t xml:space="preserve">https://www.compute-atlas.com/facilities/qts-phoenix-4-tolleson-az</t>
  </si>
  <si>
    <t xml:space="preserve">Tract Closes Acquisition of 2,069 acres in Buckeye, Arizona - GlobeNewswire</t>
  </si>
  <si>
    <t xml:space="preserve">2024-08-28</t>
  </si>
  <si>
    <t xml:space="preserve">https://www.globenewswire.com/news-release/2024/08/28/2937145/0/en/Tract-Closes-Acquisition-of-2-069-acres-in-Buckeye-Arizona.html</t>
  </si>
  <si>
    <t xml:space="preserve">Tract plans 1,700-acre data center campus in Phoenix, Arizona</t>
  </si>
  <si>
    <t xml:space="preserve">https://www.datacenterdynamics.com/en/news/tract-plans-1700-acre-data-center-campus-in-phoenix-arizona/</t>
  </si>
  <si>
    <t xml:space="preserve">2,069-acre parcel will become a $20 billion data center park in Buckeye</t>
  </si>
  <si>
    <t xml:space="preserve">https://azbigmedia.com/real-estate/2069-acre-parcel-will-become-a20-billion-data-center-park-in-buckeye/</t>
  </si>
  <si>
    <t xml:space="preserve">Tract Planning 1,700-acre Buckeye Data Center Campus</t>
  </si>
  <si>
    <t xml:space="preserve">https://azbex.com/planning-development/tract-planning-1700-acre-buckeye-data-center-campus/</t>
  </si>
  <si>
    <t xml:space="preserve">Buckeye — Tract project page</t>
  </si>
  <si>
    <t xml:space="preserve">https://www.tract.com/project/buckeye/</t>
  </si>
  <si>
    <t xml:space="preserve">AZFamily: Developer wants to power the future of AI in Buckeye with new data center</t>
  </si>
  <si>
    <t xml:space="preserve">https://www.azfamily.com/2024/08/30/developer-wants-power-future-ai-buckeye-with-new-data-center/</t>
  </si>
  <si>
    <t xml:space="preserve">City of Buckeye Regular Council Meeting agenda packet, 6 August 2024 — Ordinance No. 08-24 and the executed Development Agreement with AZLCO Buckeye, LLC (§12 Regional Infrastructure Components and reimbursement terms)</t>
  </si>
  <si>
    <t xml:space="preserve">https://d3n9y02raazwpg.cloudfront.net/buckeyeaz/0eb9a025-6f87-11ee-b4aa-0050569183fa-8fca9741-32ef-4a0f-b8ad-ee8a00454790-1722900291.pdf</t>
  </si>
  <si>
    <t xml:space="preserve">City of Buckeye council minutes, 6 August 2024 — adoption of Ordinance No. 08-24 approving the development agreement with AZLCO Buckeye, LLC (motion passed unanimously)</t>
  </si>
  <si>
    <t xml:space="preserve">https://buckeyeaz.granicus.com/services/minutes/reports/23859ad0-eafd-4e39-b582-796e20fdc9cb/attachment</t>
  </si>
  <si>
    <t xml:space="preserve">https://www.compute-atlas.com/facilities/tract-buckeye-tech-corridor-az</t>
  </si>
  <si>
    <t xml:space="preserve">$25B Data Center Greenlit Near Buckeye</t>
  </si>
  <si>
    <t xml:space="preserve">https://www.connectcre.com/stories/25b-data-center-greenlit-near-buckeye/</t>
  </si>
  <si>
    <t xml:space="preserve">At the edges of the AI data center boom, rural America is up against Silicon Valley billions (Hassayampa Ranch)</t>
  </si>
  <si>
    <t xml:space="preserve">https://fortune.com/2025/12/27/ai-data-centers-arizona-hassayampa-ranch/</t>
  </si>
  <si>
    <t xml:space="preserve">Maricopa County approves rezoning for proposed $25B data center hub</t>
  </si>
  <si>
    <t xml:space="preserve">https://www.orionprop.com/topfive/maricopa-county-approves-rezoning-for-proposed-25b-data-center-hub/</t>
  </si>
  <si>
    <t xml:space="preserve">$25B data center planned west of Phoenix wins key approval from county</t>
  </si>
  <si>
    <t xml:space="preserve">https://berryriddell.com/25b-data-center-planned-west-of-phoenix-wins-key-approval-from-county/</t>
  </si>
  <si>
    <t xml:space="preserve">https://www.compute-atlas.com/facilities/arizona-land-consulting-hassayampa-ranch-tonopah-az</t>
  </si>
  <si>
    <t xml:space="preserve">QTS files for 750MW campus in Phoenix, Arizona - DCD</t>
  </si>
  <si>
    <t xml:space="preserve">2024-05-28</t>
  </si>
  <si>
    <t xml:space="preserve">https://www.datacenterdynamics.com/en/news/qts-files-for-750mw-campus-in-phoenix-arizona/</t>
  </si>
  <si>
    <t xml:space="preserve">Phoenix 3 - QTS Data Centers</t>
  </si>
  <si>
    <t xml:space="preserve">https://q.com/data-centers/phoenix-3/</t>
  </si>
  <si>
    <t xml:space="preserve">3MSF Data Center Campus Planned in Glendale - AZBEX</t>
  </si>
  <si>
    <t xml:space="preserve">https://azbex.com/planning-development/3msf-data-center-campus-planned-in-glendale/</t>
  </si>
  <si>
    <t xml:space="preserve">QTS Glendale - Data Center Map</t>
  </si>
  <si>
    <t xml:space="preserve">https://www.datacentermap.com/usa/arizona/phoenix/qts-glendale/</t>
  </si>
  <si>
    <t xml:space="preserve">Florence Approves Data Centers on 1,619 Acres as Dobson Farms Becomes Major Tech Park</t>
  </si>
  <si>
    <t xml:space="preserve">https://pinalpost.com/florence-approves-data-centers-on-1619-acres-as-dobson-farms-becomes-major-tech-park/</t>
  </si>
  <si>
    <t xml:space="preserve">https://www.compute-atlas.com/facilities/edgecore-dobson-farms-east-florence-az</t>
  </si>
  <si>
    <t xml:space="preserve">Compass Datacenters acquires 120 acres in El Mirage, Arizona - DCD</t>
  </si>
  <si>
    <t xml:space="preserve">2024-06-10</t>
  </si>
  <si>
    <t xml:space="preserve">https://www.datacenterdynamics.com/en/news/compass-datacenters-acquires-120-acres-in-el-mirage-arizona/</t>
  </si>
  <si>
    <t xml:space="preserve">Compass PHX II - Building 3 - Data Center Map</t>
  </si>
  <si>
    <t xml:space="preserve">https://www.datacentermap.com/usa/arizona/phoenix/compass-phx-ii-building-3/</t>
  </si>
  <si>
    <t xml:space="preserve">New Data Center Proposed in El Mirage - AZBEX</t>
  </si>
  <si>
    <t xml:space="preserve">2024</t>
  </si>
  <si>
    <t xml:space="preserve">https://azbex.com/planning-development/new-data-center-proposed-in-el-mirage/</t>
  </si>
  <si>
    <t xml:space="preserve">New Data Center Planned in South Phoenix</t>
  </si>
  <si>
    <t xml:space="preserve">https://www.compute-atlas.com/facilities/phoenixnap-phx02-phoenix-az</t>
  </si>
  <si>
    <t xml:space="preserve">Vantage: Glendale AZ3 - Baxtel</t>
  </si>
  <si>
    <t xml:space="preserve">https://baxtel.com/data-center/vantage-glendale-az3</t>
  </si>
  <si>
    <t xml:space="preserve">Vantage acquires land for $58.5M - Data Center View</t>
  </si>
  <si>
    <t xml:space="preserve">2026-01-08</t>
  </si>
  <si>
    <t xml:space="preserve">https://news.datacenterview.com/p/january-8-2026-vantage-acquires-land-for-58-5m</t>
  </si>
  <si>
    <t xml:space="preserve">Prime and Vantage buy land in Phoenix, Arizona - DCD</t>
  </si>
  <si>
    <t xml:space="preserve">https://www.datacenterdynamics.com/en/news/prime-and-vantage-buy-land-phoenix-arizona/</t>
  </si>
  <si>
    <t xml:space="preserve">Dual Plans Will Create Massive W. Valley Mixed-Use</t>
  </si>
  <si>
    <t xml:space="preserve">https://azbex.com/planning-development/tonopah-mixed-use-development-rezoning/</t>
  </si>
  <si>
    <t xml:space="preserve">https://www.compute-atlas.com/facilities/arizona-land-consulting-balterra-tonopah-az</t>
  </si>
  <si>
    <t xml:space="preserve">Maricopa County Board Approves Rezoning for 638-Acre Data Center/Solar Site</t>
  </si>
  <si>
    <t xml:space="preserve">https://azbex.com/planning-development/maricopa-county-board-approves-rezoning-for-638-acre-data-center-solar-site/</t>
  </si>
  <si>
    <t xml:space="preserve">https://www.compute-atlas.com/facilities/grandilla-foot-creek-491st-thomas-tonopah-az</t>
  </si>
  <si>
    <t xml:space="preserve">New data center planned for Glendale sparks concerns among residents - FOX 10</t>
  </si>
  <si>
    <t xml:space="preserve">2026-05</t>
  </si>
  <si>
    <t xml:space="preserve">https://www.fox10phoenix.com/news/new-data-centers-planned-glendale-spark-concerns-among-residents</t>
  </si>
  <si>
    <t xml:space="preserve">Maricopa County supervisors approve controversial data center</t>
  </si>
  <si>
    <t xml:space="preserve">https://www.abc15.com/news/local-news/very-disappointed-maricopa-county-supervisors-approve-controversial-data-center</t>
  </si>
  <si>
    <t xml:space="preserve">Project Baccara - official project site</t>
  </si>
  <si>
    <t xml:space="preserve">https://www.projectbaccara.com/</t>
  </si>
  <si>
    <t xml:space="preserve">Arizona Corporation Commission February 4, 2026 Open Meeting Highlights — Certificate of Environmental Compatibility for Project Baccara</t>
  </si>
  <si>
    <t xml:space="preserve">https://www.azcc.gov/news/home/2026/02/06/february-4--2026-open-meeting-highlights</t>
  </si>
  <si>
    <t xml:space="preserve">Maricopa County Planning and Zoning Hearing Agenda, May 6, 2026 — case MCP250007, Project Baccara Military Compatibility Permit</t>
  </si>
  <si>
    <t xml:space="preserve">https://www.maricopa.gov/AgendaCenter/ViewFile/Item/10264?fileID=100345</t>
  </si>
  <si>
    <t xml:space="preserve">2 Data Center Projects Advancing in Metro Phoenix</t>
  </si>
  <si>
    <t xml:space="preserve">https://azbex.com/planning-development/2-data-center-projects-advancing-in-metro-phoenix/</t>
  </si>
  <si>
    <t xml:space="preserve">Certificate of Environmental Compatibility application, Baccara Power LLC (ACC docket L-21369A-25-0222-00253) — APS-owned substation interconnecting at 230 kV; 'closed loop chiller system which, once filled, will reuse water without the need for refilling'; '~100 permanent well-paying jobs'</t>
  </si>
  <si>
    <t xml:space="preserve">https://www.projectbaccara.com/_files/ugd/cbe98b_459cc246ea694c9f99e6fc4e9b79b975.pdf</t>
  </si>
  <si>
    <t xml:space="preserve">Maricopa County Air Quality Department, Notice of Public Hearing and Public Comment, Proposed Permit No. P0013417, Takanock Baccara LLC — facility address "NW Corner W Olive Ave &amp; N 143rd Ave, Waddell, AZ 85355"</t>
  </si>
  <si>
    <t xml:space="preserve">https://www.projectbaccara.com/_files/ugd/cbe98b_7cd257dc576944ffb5f945e9ade851bb.pdf</t>
  </si>
  <si>
    <t xml:space="preserve">Massive data center approved near Luke Air Force Base despite opposition</t>
  </si>
  <si>
    <t xml:space="preserve">https://www.azfamily.com/2026/05/07/massive-data-center-approved-near-luke-air-force-base-despite-opposition/</t>
  </si>
  <si>
    <t xml:space="preserve">'Very disappointed': Maricopa County supervisors approve controversial data center</t>
  </si>
  <si>
    <t xml:space="preserve">Controversial Surprise data center clears environmental review</t>
  </si>
  <si>
    <t xml:space="preserve">https://www.watereducation.org/aquafornia-news/controversial-surprise-data-center-clears-environmental-review</t>
  </si>
  <si>
    <t xml:space="preserve">https://www.compute-atlas.com/facilities/takanock-project-baccara-maricopa-county-az</t>
  </si>
  <si>
    <t xml:space="preserve">https://www.compute-atlas.com/facilities/ryan-companies-florence-tech-park-az</t>
  </si>
  <si>
    <t xml:space="preserve">Project Midway Data Center Approved by Pinal County Supervisors</t>
  </si>
  <si>
    <t xml:space="preserve">https://pinalpost.com/supervisors-approve-project-midway-data-center-near-casa-grande/</t>
  </si>
  <si>
    <t xml:space="preserve">Data Center Hearing: Project Midway Rezoning Set for July 16</t>
  </si>
  <si>
    <t xml:space="preserve">https://pinalpost.com/data-center-hearing-project-midway-rezoning-set-for-july-16/</t>
  </si>
  <si>
    <t xml:space="preserve">https://www.compute-atlas.com/facilities/lpi-group-project-midway-casa-grande-az</t>
  </si>
  <si>
    <t xml:space="preserve">Pinal supervisors approve 3 data center projects, with some concern - PinalCentral</t>
  </si>
  <si>
    <t xml:space="preserve">https://www.pinalcentral.com/maricopa_monitor/news/pinal-supervisors-approve-3-data-center-projects-with-some-concern/article_a6f448f1-f8b2-4eda-a1da-d70d9b921f8c.html</t>
  </si>
  <si>
    <t xml:space="preserve">$10 billion data center campus OK'd south of Maricopa</t>
  </si>
  <si>
    <t xml:space="preserve">https://inmaricopa.com/data-center-okd/</t>
  </si>
  <si>
    <t xml:space="preserve">Commission Recommends Data Center Campus Despite Resident, Tribal Pushback</t>
  </si>
  <si>
    <t xml:space="preserve">https://pinalpost.com/commission-recommends-data-center-campus-despite-resident-tribal-pushback/</t>
  </si>
  <si>
    <t xml:space="preserve">https://www.compute-atlas.com/facilities/w-holdings-energy-generation-technology-campus-maricopa-az</t>
  </si>
  <si>
    <t xml:space="preserve">Casa Grande Approves Data Center Waivers 7-0, Settling Prop 207 Claims - Pinal Post</t>
  </si>
  <si>
    <t xml:space="preserve">2026-08</t>
  </si>
  <si>
    <t xml:space="preserve">https://pinalpost.com/casa-grande-data-center-waiver-approved/</t>
  </si>
  <si>
    <t xml:space="preserve">Rezoning approved for Marana data center campus</t>
  </si>
  <si>
    <t xml:space="preserve">https://tucson.com/news/local/environment/article_52f0d4ba-aa9e-4c17-b290-ca3c2ad8d011.html</t>
  </si>
  <si>
    <t xml:space="preserve">Marana Planning Commission backs rezoning for 600-acre data center project</t>
  </si>
  <si>
    <t xml:space="preserve">https://news.azpm.org/s/102313-marana-planning-commission-backs-rezoning-for-600-acre-data-center-project/</t>
  </si>
  <si>
    <t xml:space="preserve">Marana residents submit petitions to put data center project to a vote</t>
  </si>
  <si>
    <t xml:space="preserve">https://news.azpm.org/p/azpmnews/2026/2/10/228403-marana-residents-submit-petitions-to-put-data-center-project-to-a-vote/</t>
  </si>
  <si>
    <t xml:space="preserve">Marana rejects referendums against data center rezoning</t>
  </si>
  <si>
    <t xml:space="preserve">https://www.tucsonsentinel.com/local/report/021826_data_referendum_fails/marana-rejects-referendums-against-data-center-center-rezoning/</t>
  </si>
  <si>
    <t xml:space="preserve">Data center moves forward: Marana Town Council approves land rezoning</t>
  </si>
  <si>
    <t xml:space="preserve">https://www.kgun9.com/news/community-inspired-journalism/marana/data-center-moves-forward-marana-town-council-approves-land-rezoning</t>
  </si>
  <si>
    <t xml:space="preserve">Marana Town Council approves rezoning for Luckett Road Project, 600-acre hyperscale data center</t>
  </si>
  <si>
    <t xml:space="preserve">https://news.azpm.org/p/news-articles/2026/1/8/227908-marana-town-council-approves-rezoning-for-luckett-road-project-600-acre-hyperscale-data-center/</t>
  </si>
  <si>
    <t xml:space="preserve">https://www.compute-atlas.com/facilities/fremont-peak-luckett-road-marana-az</t>
  </si>
  <si>
    <t xml:space="preserve">$12.5B Mohave Data Center Plan Could Face New Hurdle - AZBEX</t>
  </si>
  <si>
    <t xml:space="preserve">2025-12-16</t>
  </si>
  <si>
    <t xml:space="preserve">https://azbex.com/planning-development/12-5b-mohave-data-center-plan-could-face-new-hurdle/</t>
  </si>
  <si>
    <t xml:space="preserve">Mohave County to Require Data Centers to Provide Power and Water - AZBEX</t>
  </si>
  <si>
    <t xml:space="preserve">2025-12-05</t>
  </si>
  <si>
    <t xml:space="preserve">https://azbex.com/local-news/mohave-county-to-require-data-centers-to-provide-power-and-water/</t>
  </si>
  <si>
    <t xml:space="preserve">Data center proposed for 500-acre site in Page, Arizona - DCD</t>
  </si>
  <si>
    <t xml:space="preserve">2025-11-24</t>
  </si>
  <si>
    <t xml:space="preserve">https://www.datacenterdynamics.com/en/news/data-center-proposed-for-500-acre-site-in-page-arizona/</t>
  </si>
  <si>
    <t xml:space="preserve">Page Rejects Petition Opposing $10B Data Center - AZBEX</t>
  </si>
  <si>
    <t xml:space="preserve">2025-12-23</t>
  </si>
  <si>
    <t xml:space="preserve">https://azbex.com/planning-development/page-rejects-petition-opposing-10b-data-center/</t>
  </si>
  <si>
    <t xml:space="preserve">US Gov't assesses interest in a 500MW+ data center at Air Force Base in Arizona - DCD</t>
  </si>
  <si>
    <t xml:space="preserve">2025-03-25</t>
  </si>
  <si>
    <t xml:space="preserve">https://www.datacenterdynamics.com/en/news/us-govt-assesses-interest-in-a-500mw-data-center-at-air-force-base-in-arizona/</t>
  </si>
  <si>
    <t xml:space="preserve">Commercial Data Center RFI - SAM.gov</t>
  </si>
  <si>
    <t xml:space="preserve">2025-03-24</t>
  </si>
  <si>
    <t xml:space="preserve">https://sam.gov/opp/5215c59dc17b44feb3fc309bfc7fb83f/view</t>
  </si>
  <si>
    <t xml:space="preserve">Davis-Monthan Air Force Base Eligible for Private Data Center - AZBEX</t>
  </si>
  <si>
    <t xml:space="preserve">2025-10-24</t>
  </si>
  <si>
    <t xml:space="preserve">https://azbex.com/local-news/davis-monthan-air-force-base-eligible-for-private-data-center/</t>
  </si>
  <si>
    <t xml:space="preserve">Artificial Intelligence Data Center FAQ - Davis-Monthan AFB</t>
  </si>
  <si>
    <t xml:space="preserve">https://www.dm.af.mil/Portals/99/Public%20Notice/AI%20Data%20Centers%20FAQ_FINAL.pdf?ver=eVffajYW9ZUZOaYphaOjfA%3D%3D</t>
  </si>
  <si>
    <t xml:space="preserve">Ryan Companies 2MSF Industrial Plan Pivots to $687M Data Center</t>
  </si>
  <si>
    <t xml:space="preserve">https://azbex.com/planning-development/ryan-companies-2msf-industrial-plan-pivots-to-687m-data-center/</t>
  </si>
  <si>
    <t xml:space="preserve">https://www.compute-atlas.com/facilities/ryan-companies-southwest-crossing-data-park-eloy-az</t>
  </si>
  <si>
    <t xml:space="preserve">NTT acquires 173-acre planned data center park in Mesa for $300m</t>
  </si>
  <si>
    <t xml:space="preserve">https://www.datacenterdynamics.com/en/news/ntt-acquires-173-acre-planned-data-center-park-in-mesa-arizona-for-300m/</t>
  </si>
  <si>
    <t xml:space="preserve">Mesa residents are fighting a Tokyo tech giant's data center</t>
  </si>
  <si>
    <t xml:space="preserve">https://coppercourier.com/news/politics/mesa-residents-fight-data-center/</t>
  </si>
  <si>
    <t xml:space="preserve">Big data center in SE Mesa passes first review — Planning &amp; Zoning Board recommends approval 4-0 for the 170-acre site at Pecos and Crismon</t>
  </si>
  <si>
    <t xml:space="preserve">https://www.themesatribune.com/news/big-data-center-in-se-mesa-passes-first-review/article_91081b9b-d2d1-47f6-91d2-b600115e4a55.html</t>
  </si>
  <si>
    <t xml:space="preserve">https://www.compute-atlas.com/facilities/ntt-global-mesa-az</t>
  </si>
  <si>
    <t xml:space="preserve">CyrusOne Acquires Site for 2nd Phoenix Facility</t>
  </si>
  <si>
    <t xml:space="preserve">https://www.commercialsearch.com/news/cyrusone-acquires-70-acre-site-for-2nd-phoenix-facility/</t>
  </si>
  <si>
    <t xml:space="preserve">CyrusOne Mesa Data Center</t>
  </si>
  <si>
    <t xml:space="preserve">https://baxtel.com/data-center/cyrusone-mesa</t>
  </si>
  <si>
    <t xml:space="preserve">https://www.compute-atlas.com/facilities/cyrusone-mesa-elliot-ellsworth-az</t>
  </si>
  <si>
    <t xml:space="preserve">Amazon acquires 220 acres in Phoenix, Arizona for possible data center</t>
  </si>
  <si>
    <t xml:space="preserve">https://www.datacenterdynamics.com/en/news/amazon-acquires-220-acres-in-phoenix-arizona-for-possible-data-center/</t>
  </si>
  <si>
    <t xml:space="preserve">Arizona Technology Council — Amazon buys massive Valley site</t>
  </si>
  <si>
    <t xml:space="preserve">https://www.aztechcouncil.org/amazon-buys-massive-valley-site-for-potential-data-center/</t>
  </si>
  <si>
    <t xml:space="preserve">https://www.compute-atlas.com/facilities/aws-laveen-az</t>
  </si>
  <si>
    <t xml:space="preserve">Peoria is Latest Jurisdiction to Consider Tighter Data Center Restrictions - AZBEX</t>
  </si>
  <si>
    <t xml:space="preserve">2026-09-23</t>
  </si>
  <si>
    <t xml:space="preserve">https://azbex.com/local-news/peoria-data-center-restrictions/</t>
  </si>
  <si>
    <t xml:space="preserve">Aligned Data Centers moves ahead with two-building campus in Peoria</t>
  </si>
  <si>
    <t xml:space="preserve">https://www.abc15.com/news/business/aligned-data-centers-moves-ahead-with-two-building-campus-in-peoria</t>
  </si>
  <si>
    <t xml:space="preserve">https://www.compute-atlas.com/facilities/aligned-peoria-campus-az</t>
  </si>
  <si>
    <t xml:space="preserve">320-Acre Warehouse &amp; Data Center Master Plan Proposed in Far West Valley</t>
  </si>
  <si>
    <t xml:space="preserve">https://azbex.com/planning-development/320-acre-warehouse-data-center-master-plan-proposed-in-far-west-valley/</t>
  </si>
  <si>
    <t xml:space="preserve">https://www.compute-atlas.com/facilities/arizona-land-consulting-camelback-creek-tonopah-az</t>
  </si>
  <si>
    <t xml:space="preserve">Maricopa County Board of Supervisors' Hearing Planning and Zoning Agenda, June 10, 2026 (cases CPA250011 and Z250034, Wintersburg 313)</t>
  </si>
  <si>
    <t xml:space="preserve">https://www.maricopa.gov/AgendaCenter/ViewFile/Item/10316?fileID=100604</t>
  </si>
  <si>
    <t xml:space="preserve">https://www.compute-atlas.com/facilities/wintersburg-313-tonopah-az</t>
  </si>
  <si>
    <t xml:space="preserve">Zoning Change Could Bring Data Centers to Belmont Mixed-Use Area - AZBEX</t>
  </si>
  <si>
    <t xml:space="preserve">2026-01-20</t>
  </si>
  <si>
    <t xml:space="preserve">https://azbex.com/planning-development/zoning-change-could-bring-data-centers-to-belmont-mixed-use-area/</t>
  </si>
  <si>
    <t xml:space="preserve">This Buckeye land was once planned as a hydrogen gas plant. Now it could be a data center - KJZZ</t>
  </si>
  <si>
    <t xml:space="preserve">2026-03-04</t>
  </si>
  <si>
    <t xml:space="preserve">https://www.kjzz.org/politics/2026-03-04/this-buckeye-land-was-once-planned-as-a-hydrogen-gas-plant-now-it-could-be-a-data-center</t>
  </si>
  <si>
    <t xml:space="preserve">Fortescue Seeks Hydrogen Site Changes to Allow for Possible Data Center - AZBEX</t>
  </si>
  <si>
    <t xml:space="preserve">2026-02-10</t>
  </si>
  <si>
    <t xml:space="preserve">https://azbex.com/local-news/fortescue-seeks-hydrogen-site-changes-to-allow-for-possible-data-center/</t>
  </si>
  <si>
    <t xml:space="preserve">Buckeye council approves zoning amendment ... potential data center - Citizen Portal</t>
  </si>
  <si>
    <t xml:space="preserve">2026-03</t>
  </si>
  <si>
    <t xml:space="preserve">https://citizenportal.ai/articles/7995557/Arizona/Maricopa-County/Buckeye/Buckeye-council-approves-zoning-amendment-that-could-allow-broader-industrial-uses-including-a-potential-data-center</t>
  </si>
  <si>
    <t xml:space="preserve">Fortescue Buckeye - Data Center Map</t>
  </si>
  <si>
    <t xml:space="preserve">https://www.datacentermap.com/usa/arizona/phoenix/fortescue-buckeye/</t>
  </si>
  <si>
    <t xml:space="preserve">1,500-Acre Business and Technology Campus Planned in Pinal County</t>
  </si>
  <si>
    <t xml:space="preserve">https://azbex.com/planning-development/1500-acre-business-and-technology-campus-planned-in-pinal-county/</t>
  </si>
  <si>
    <t xml:space="preserve">Data centers proposed south of Maricopa: County reviews 956-acre land-use change for Arizona Independent Technology Campus</t>
  </si>
  <si>
    <t xml:space="preserve">https://pinalpost.com/data-center-south-of-maricopa-tech-campus-2026-september-worksession/</t>
  </si>
  <si>
    <t xml:space="preserve">https://www.compute-atlas.com/facilities/zinke-arizona-independent-technology-campus-pinal-az</t>
  </si>
  <si>
    <t xml:space="preserve">Arizona Land: Casa Grande Data Center - Baxtel</t>
  </si>
  <si>
    <t xml:space="preserve">https://baxtel.com/data-center/arizona-land-casa-grande</t>
  </si>
  <si>
    <t xml:space="preserve">New 160-acre data center proposed in Sahuarita</t>
  </si>
  <si>
    <t xml:space="preserve">https://tucson.com/news/local/government-politics/article_88b66e8c-6502-49de-832e-7cba5f958a77.html</t>
  </si>
  <si>
    <t xml:space="preserve">https://www.compute-atlas.com/facilities/sahuarita-holdings-project-gravel-pima-county-az</t>
  </si>
  <si>
    <t xml:space="preserve">Tract drops $14B plan to build data center campus outside Phoenix - The Real Deal</t>
  </si>
  <si>
    <t xml:space="preserve">2024-05-02</t>
  </si>
  <si>
    <t xml:space="preserve">https://therealdeal.com/national/phoenix/2024/05/02/tract-drops-14b-plan-to-build-data-centers-outside-phoenix/</t>
  </si>
  <si>
    <t xml:space="preserve">Project Range - Data Center Map (archived listing)</t>
  </si>
  <si>
    <t xml:space="preserve">https://www.datacentermap.com/usa/arizona/phoenix/project-range/</t>
  </si>
  <si>
    <t xml:space="preserve">Massive Data Center Master Plan Proposed in West Valley</t>
  </si>
  <si>
    <t xml:space="preserve">https://azbex.com/planning-development/massive-data-center-master-plan-proposed-in-west-valley/</t>
  </si>
  <si>
    <t xml:space="preserve">https://www.compute-atlas.com/facilities/tract-project-range-buckeye-goodyear-az</t>
  </si>
  <si>
    <t xml:space="preserve">Vintage Partners scraps Phoenix, Arizona, data center plans - DCD</t>
  </si>
  <si>
    <t xml:space="preserve">2026-03-05</t>
  </si>
  <si>
    <t xml:space="preserve">https://www.datacenterdynamics.com/en/news/vintage-partners-scraps-phoenix-arizona-data-center-plans/</t>
  </si>
  <si>
    <t xml:space="preserve">Data Center Changes Result in Plan Change to Mixed-Use - AZBEX</t>
  </si>
  <si>
    <t xml:space="preserve">2026-03-03</t>
  </si>
  <si>
    <t xml:space="preserve">https://azbex.com/planning-development/data-center-changes-result-in-plan-change-to-mixed-use/</t>
  </si>
  <si>
    <t xml:space="preserve">Data Center Plan Sparks Chandler Opposition - AZBEX</t>
  </si>
  <si>
    <t xml:space="preserve">2025-10-17</t>
  </si>
  <si>
    <t xml:space="preserve">https://azbex.com/planning-development/data-center-plan-sparks-chandler-opposition/</t>
  </si>
  <si>
    <t xml:space="preserve">Chandler's data center vote triggers national progressive praise - Axios Phoenix</t>
  </si>
  <si>
    <t xml:space="preserve">https://www.axios.com/local/phoenix/2025/12/16/chandler-rejects-sinema-ai-data-center</t>
  </si>
  <si>
    <t xml:space="preserve">Active Infrastructure rejected in Chandler - Data Center View</t>
  </si>
  <si>
    <t xml:space="preserve">https://news.datacenterview.com/p/december-16-2025-active-infrastructure-rejected-in-chandler</t>
  </si>
  <si>
    <t xml:space="preserve">Pinal County rejects massive La Osa data center - KJZZ</t>
  </si>
  <si>
    <t xml:space="preserve">2026-08-26</t>
  </si>
  <si>
    <t xml:space="preserve">https://www.kjzz.org/politics/2026-08-26/pinal-county-rejects-massive-la-osa-data-center-residents-want-more-rules-for-future-projects</t>
  </si>
  <si>
    <t xml:space="preserve">Pinal P&amp;Z Recommends Data Center &amp; Energy Master Plan Rezone - AZBEX</t>
  </si>
  <si>
    <t xml:space="preserve">2026-04-23</t>
  </si>
  <si>
    <t xml:space="preserve">https://azbex.com/planning-development/pinal-pz-recommends-data-center-energy-master-plan-rezone/</t>
  </si>
  <si>
    <t xml:space="preserve">Land developer Vermaland pitches $33bn data center in Arizona</t>
  </si>
  <si>
    <t xml:space="preserve">https://www.datacenterdynamics.com/en/news/land-developer-vermaland-plans-33bn-data-center-in-arizona/</t>
  </si>
  <si>
    <t xml:space="preserve">$33 billion data center industrial park coming to Pinal County</t>
  </si>
  <si>
    <t xml:space="preserve">https://azbigmedia.com/business/33-billion-data-center-industrial-park-coming-to-pinal-county/</t>
  </si>
  <si>
    <t xml:space="preserve">Largest proposed data center in Arizona to be scaled back 80% after opposition</t>
  </si>
  <si>
    <t xml:space="preserve">https://www.kjzz.org/fronteras-desk/2026-05-28/largest-proposed-data-center-in-arizona-to-be-scaled-back-80-after-opposition</t>
  </si>
  <si>
    <t xml:space="preserve">Pinal County Advances Vermaland's La Osa Data Center Plan</t>
  </si>
  <si>
    <t xml:space="preserve">https://hoodline.com/2026/04/pinal-county-panel-backs-massive-la-osa-data-center-in-eloy-desert/</t>
  </si>
  <si>
    <t xml:space="preserve">$33B Data Center Park Eyed in Arizona</t>
  </si>
  <si>
    <t xml:space="preserve">https://www.commercialsearch.com/news/33b-data-center-park-eyed-in-arizona/</t>
  </si>
  <si>
    <t xml:space="preserve">Pinal County rejects massive La Osa data center. Residents want more rules for future projects</t>
  </si>
  <si>
    <t xml:space="preserve">Data centers in the Sonoran Desert — update (La Osa rezoning denied August 26, 2026)</t>
  </si>
  <si>
    <t xml:space="preserve">https://www.sonorandesert.org/2026/08/26/data-centers-update/</t>
  </si>
  <si>
    <t xml:space="preserve">https://www.compute-atlas.com/facilities/vermaland-la-osa-eloy-az</t>
  </si>
  <si>
    <t xml:space="preserve">$3bn "solar data center" proposed in Arizona - DCD</t>
  </si>
  <si>
    <t xml:space="preserve">2019-07-18</t>
  </si>
  <si>
    <t xml:space="preserve">https://www.datacenterdynamics.com/en/news/3bn-solar-data-center-proposed-arizona/</t>
  </si>
  <si>
    <t xml:space="preserve">$3B 'Hive' data farm in Golden Valley could become a simple solar field - Kingman Daily Miner</t>
  </si>
  <si>
    <t xml:space="preserve">https://www.kdminer.com/3b-hive-data-farm-in-golden-valley-could-become-a-simple-solar-field/article_ef354c84-5515-51c5-a489-95b3387b3abb.html</t>
  </si>
  <si>
    <t xml:space="preserve">#</t>
  </si>
  <si>
    <t xml:space="preserve">Publisher</t>
  </si>
  <si>
    <t xml:space="preserve">Title</t>
  </si>
  <si>
    <t xml:space="preserve">Salt River Project</t>
  </si>
  <si>
    <t xml:space="preserve">Data Centers and SRP (fact page)</t>
  </si>
  <si>
    <t xml:space="preserve">2026</t>
  </si>
  <si>
    <t xml:space="preserve">https://www.srpnet.com/about/data-center-facts</t>
  </si>
  <si>
    <t xml:space="preserve">Proposed Adjustments to SRP's Standard Electric Price Plans Effective with the November 2025 Billing Cycle (E-67 class data)</t>
  </si>
  <si>
    <t xml:space="preserve">2024-12</t>
  </si>
  <si>
    <t xml:space="preserve">https://www.srpnet.com/assets/srpnet/pdf/price-plans/2024/Proposed%20Adjustments%20to%20SRP's%20Standard%20Price%20Plans%20Effective%20with%20the%20November%202025%20Billing%20Cycle_Web%5B91%5D.pdf</t>
  </si>
  <si>
    <t xml:space="preserve">Arizona Capitol Times</t>
  </si>
  <si>
    <t xml:space="preserve">Jim Pratt (SRP GM/CEO), "The facts about SRP and data centers"</t>
  </si>
  <si>
    <t xml:space="preserve">2026-03-31</t>
  </si>
  <si>
    <t xml:space="preserve">https://azcapitoltimes.com/news/2026/03/31/the-facts-about-srp-and-data-centers/</t>
  </si>
  <si>
    <t xml:space="preserve">Arizona Public Service</t>
  </si>
  <si>
    <t xml:space="preserve">Data Centers: How We're Protecting Customers While Planning for Big Energy Needs</t>
  </si>
  <si>
    <t xml:space="preserve">https://www.aps.com/en/Utility/Company-wide-Events-and-Messages/Data_Centers_How_Were_Protecting_Customers_While_Planning-for_Big_Energy_Needs</t>
  </si>
  <si>
    <t xml:space="preserve">APS rate case (Docket E-01345A-25-0105)</t>
  </si>
  <si>
    <t xml:space="preserve">https://www.aps.com/en/Utility/Regulatory-and-Legal/Rate-case</t>
  </si>
  <si>
    <t xml:space="preserve">KJZZ</t>
  </si>
  <si>
    <t xml:space="preserve">Data centers drive half of APS peak demand growth this year compared to 2025</t>
  </si>
  <si>
    <t xml:space="preserve">2026-07-29</t>
  </si>
  <si>
    <t xml:space="preserve">https://www.kjzz.org/business/2026-07-29/data-centers-drive-half-of-aps-peak-demand-growth-this-year-compared-to-2025</t>
  </si>
  <si>
    <t xml:space="preserve">Arizona Corporation Commission</t>
  </si>
  <si>
    <t xml:space="preserve">ACC statement on applications for rehearing re: TEP energy supply agreement (Decision 81587)</t>
  </si>
  <si>
    <t xml:space="preserve">2026-01-21</t>
  </si>
  <si>
    <t xml:space="preserve">https://www.azcc.gov/news/home/2026/01/21/acc-statement-on-applications-for-rehearing-re--tep-energy-supply-agreement</t>
  </si>
  <si>
    <t xml:space="preserve">ACC Large Load / Data Center Workshop Highlights</t>
  </si>
  <si>
    <t xml:space="preserve">2026-04-20</t>
  </si>
  <si>
    <t xml:space="preserve">https://www.azcc.gov/news/home/2026/04/20/acc-large-load-data-center-workshop-highlights</t>
  </si>
  <si>
    <t xml:space="preserve">U.S. Energy Information Administration</t>
  </si>
  <si>
    <t xml:space="preserve">Electric Power Monthly, Table 5.6.B: Average price of electricity by state, year to date</t>
  </si>
  <si>
    <t xml:space="preserve">https://www.eia.gov/electricity/monthly/epm_table_grapher.php?t=epmt_5_6_b</t>
  </si>
  <si>
    <t xml:space="preserve">Electricity retail sales, revenue and price by state (API v2)</t>
  </si>
  <si>
    <t xml:space="preserve">https://www.eia.gov/opendata/browser/electricity/retail-sales</t>
  </si>
  <si>
    <t xml:space="preserve">Hourly Electric Grid Monitor (Form EIA-930)</t>
  </si>
  <si>
    <t xml:space="preserve">live</t>
  </si>
  <si>
    <t xml:space="preserve">https://www.eia.gov/electricity/gridmonitor/</t>
  </si>
  <si>
    <t xml:space="preserve">Preliminary Monthly Electric Generator Inventory (EIA-860M), June 2026</t>
  </si>
  <si>
    <t xml:space="preserve">2026-06</t>
  </si>
  <si>
    <t xml:space="preserve">https://www.eia.gov/electricity/data/eia860m/</t>
  </si>
  <si>
    <t xml:space="preserve">California ISO</t>
  </si>
  <si>
    <t xml:space="preserve">OASIS: WEIM transfers by tie (ENE_EIM_TRANSFER_TIE), 5-minute</t>
  </si>
  <si>
    <t xml:space="preserve">http://oasis.caiso.com/</t>
  </si>
  <si>
    <t xml:space="preserve">DHS HIFLD / ORNL</t>
  </si>
  <si>
    <t xml:space="preserve">Electric Power Transmission Lines (230 kV and above)</t>
  </si>
  <si>
    <t xml:space="preserve">https://services1.arcgis.com/Hp6G80Pky0om7QvQ/arcgis/rest/services/Electric_Power_Transmission_Lines/FeatureServer/0</t>
  </si>
  <si>
    <t xml:space="preserve">EPRI</t>
  </si>
  <si>
    <t xml:space="preserve">Powering Intelligence: Analyzing Artificial Intelligence and Data Center Energy Consumption (state table)</t>
  </si>
  <si>
    <t xml:space="preserve">2024-05</t>
  </si>
  <si>
    <t xml:space="preserve">https://restservice.epri.com/publicdownload/000000003002028905/0/Product</t>
  </si>
  <si>
    <t xml:space="preserve">Powering Intelligence 2026 update: FAQs</t>
  </si>
  <si>
    <t xml:space="preserve">2026-02</t>
  </si>
  <si>
    <t xml:space="preserve">https://restservice.epri.com/publicattachment/96784</t>
  </si>
  <si>
    <t xml:space="preserve">Lawrence Berkeley National Laboratory</t>
  </si>
  <si>
    <t xml:space="preserve">2024 United States Data Center Energy Usage Report</t>
  </si>
  <si>
    <t xml:space="preserve">https://eta-publications.lbl.gov/sites/default/files/2024-12/lbnl-2024-united-states-data-center-energy-usage-report_1.pdf</t>
  </si>
  <si>
    <t xml:space="preserve">LBNL &amp; The Brattle Group</t>
  </si>
  <si>
    <t xml:space="preserve">Factors Influencing Recent Trends in Retail Electricity Prices</t>
  </si>
  <si>
    <t xml:space="preserve">2025-10</t>
  </si>
  <si>
    <t xml:space="preserve">https://eta-publications.lbl.gov/sites/default/files/2025-10/presentation_retail_price_trends_drivers.pdf</t>
  </si>
  <si>
    <t xml:space="preserve">U.S. Geological Survey</t>
  </si>
  <si>
    <t xml:space="preserve">Estimated Use of Water in the United States, County-Level Data for 2015</t>
  </si>
  <si>
    <t xml:space="preserve">2018</t>
  </si>
  <si>
    <t xml:space="preserve">https://www.sciencebase.gov/catalog/item/5af3311be4b0da30c1b245d8</t>
  </si>
  <si>
    <t xml:space="preserve">Arizona Department of Water Resources / Arizona Water Facts</t>
  </si>
  <si>
    <t xml:space="preserve">Water use by sector</t>
  </si>
  <si>
    <t xml:space="preserve">2020</t>
  </si>
  <si>
    <t xml:space="preserve">https://arizonawaterfacts.com/water-your-facts</t>
  </si>
  <si>
    <t xml:space="preserve">Circle of Blue</t>
  </si>
  <si>
    <t xml:space="preserve">Data centers a small but growing factor in Arizona's water budget</t>
  </si>
  <si>
    <t xml:space="preserve">2025</t>
  </si>
  <si>
    <t xml:space="preserve">https://www.circleofblue.org/2025/supply/data-centers-a-small-but-growing-factor-in-arizonas-water-budget/</t>
  </si>
  <si>
    <t xml:space="preserve">ASU Morrison Institute / Kyl Center</t>
  </si>
  <si>
    <t xml:space="preserve">Large-Volume Water User Ordinances in Arizona</t>
  </si>
  <si>
    <t xml:space="preserve">https://morrisoninstitute.asu.edu/sites/g/files/litvpz841/files/2025-09/Large-Volume%20Water%20User%20Ordinances%20090525_revised2.pdf</t>
  </si>
  <si>
    <t xml:space="preserve">U.S. Bureau of Reclamation</t>
  </si>
  <si>
    <t xml:space="preserve">2027–2028 Colorado River Operating Guidelines</t>
  </si>
  <si>
    <t xml:space="preserve">https://www.usbr.gov/ColoradoRiverBasin/post2026/</t>
  </si>
  <si>
    <t xml:space="preserve">U.S. Bureau of Economic Analysis via FRED</t>
  </si>
  <si>
    <t xml:space="preserve">Arizona GDP: agriculture, forestry, fishing and hunting</t>
  </si>
  <si>
    <t xml:space="preserve">https://fred.stlouisfed.org/series/AZAGRNGSP</t>
  </si>
  <si>
    <t xml:space="preserve">PwC for the Data Center Coalition (industry-sponsored)</t>
  </si>
  <si>
    <t xml:space="preserve">Economic Contributions of Data Centers in the United States, 2023–2024</t>
  </si>
  <si>
    <t xml:space="preserve">https://static1.squarespace.com/static/63a4849eab1c756a1d3e97b1/t/6a04986aac382850dcd9d637/1778686058456/Data+Center+Economic+Contribution+Study+2026_Final.pdf</t>
  </si>
  <si>
    <t xml:space="preserve">Mangum Economics for the Data Center Coalition (industry-sponsored)</t>
  </si>
  <si>
    <t xml:space="preserve">The Impact of Data Centers on the Arizona Economy</t>
  </si>
  <si>
    <t xml:space="preserve">2021-02</t>
  </si>
  <si>
    <t xml:space="preserve">https://static1.squarespace.com/static/63a4849eab1c756a1d3e97b1/t/663044d8d160b943d48f30bf/1714439385121/The+Impact+of+Data+Centers+on+the+Arizona+Economy.pdf</t>
  </si>
  <si>
    <t xml:space="preserve">Arizona Department of Revenue</t>
  </si>
  <si>
    <t xml:space="preserve">FY2025 Preliminary Tax Expenditure Report (Deduction Code 565, computer data centers)</t>
  </si>
  <si>
    <t xml:space="preserve">https://azdor.gov/sites/default/files/document/REPORTS_EXPENDITURES_2025_fy25-preliminary-tax-expenditure-report.pdf</t>
  </si>
  <si>
    <t xml:space="preserve">TPT rate table, effective January 1, 2026</t>
  </si>
  <si>
    <t xml:space="preserve">2026-01</t>
  </si>
  <si>
    <t xml:space="preserve">https://azdor.gov/sites/default/files/document/TPT_RATETABLE_01012026.pdf</t>
  </si>
  <si>
    <t xml:space="preserve">Prime contracting FAQs (65% taxable base)</t>
  </si>
  <si>
    <t xml:space="preserve">https://azdor.gov/transaction-privilege-tax/contracting-guidelines/contracting-faqs</t>
  </si>
  <si>
    <t xml:space="preserve">Tax Year 2026 property tax rates</t>
  </si>
  <si>
    <t xml:space="preserve">https://www.maricopa.gov/DocumentCenter/View/123385/Tax-Rate-2026-PDF</t>
  </si>
  <si>
    <t xml:space="preserve">Joint Legislative Budget Committee</t>
  </si>
  <si>
    <t xml:space="preserve">Tax Handbook (TPT distribution, urban revenue sharing)</t>
  </si>
  <si>
    <t xml:space="preserve">https://www.azjlbc.gov/revenues/25taxbk.pdf</t>
  </si>
  <si>
    <t xml:space="preserve">Arizona Revised Statutes</t>
  </si>
  <si>
    <t xml:space="preserve">A.R.S. 42-5029: Remission and distribution of TPT monies</t>
  </si>
  <si>
    <t xml:space="preserve">current</t>
  </si>
  <si>
    <t xml:space="preserve">https://www.azleg.gov/ars/42/05029.htm</t>
  </si>
  <si>
    <t xml:space="preserve">A.R.S. 41-1519: Computer data center tax relief</t>
  </si>
  <si>
    <t xml:space="preserve">https://www.azleg.gov/ars/41/01519.htm</t>
  </si>
  <si>
    <t xml:space="preserve">A.R.S. 42-15001: Class 1 assessment ratios</t>
  </si>
  <si>
    <t xml:space="preserve">https://www.azleg.gov/ars/42/15001.htm</t>
  </si>
  <si>
    <t xml:space="preserve">Arizona Legislature</t>
  </si>
  <si>
    <t xml:space="preserve">HB 2822 (2022) summary: business personal property valued at 2.5% of cost</t>
  </si>
  <si>
    <t xml:space="preserve">https://www.azleg.gov/legtext/55leg/2R/summary/S.2822COM.DOCX.htm</t>
  </si>
  <si>
    <t xml:space="preserve">HB 4168, Laws 2026 Ch. 140 (budget tax omnibus; pause on new computer data center certifications)</t>
  </si>
  <si>
    <t xml:space="preserve">2026-06-13</t>
  </si>
  <si>
    <t xml:space="preserve">https://apps.azleg.gov/BillStatus/BillOverview/85758</t>
  </si>
  <si>
    <t xml:space="preserve">HB 2756, Laws 2026 Ch. 111 (utilities; high load factor customers)</t>
  </si>
  <si>
    <t xml:space="preserve">2026-06-04</t>
  </si>
  <si>
    <t xml:space="preserve">https://apps.azleg.gov/BillStatus/BillOverview/84576</t>
  </si>
  <si>
    <t xml:space="preserve">Grand Canyon Institute</t>
  </si>
  <si>
    <t xml:space="preserve">Running on Empty: federal tax conformity leaves $1 billion state budget deficit (FY2027 exemption projection)</t>
  </si>
  <si>
    <t xml:space="preserve">https://grandcanyoninstitute.org/research/budget/running-on-empty-federal-tax-package-conformity-leaves-1-billion-state-budget-deficit/</t>
  </si>
  <si>
    <t xml:space="preserve">Office of the Governor</t>
  </si>
  <si>
    <t xml:space="preserve">Governor Katie Hobbs lays out plan to lower costs (2026 State of the State; data center exemption repeal and water-use fee proposal)</t>
  </si>
  <si>
    <t xml:space="preserve">2026-01-12</t>
  </si>
  <si>
    <t xml:space="preserve">https://azgovernor.gov/office-arizona-governor/news/2026/01/governor-katie-hobbs-lays-out-plan-lower-costs-and-put-arizona</t>
  </si>
  <si>
    <t xml:space="preserve">U.S. Bureau of Labor Statistics</t>
  </si>
  <si>
    <t xml:space="preserve">QCEW, NAICS 518210 (data processing &amp; hosting), Arizona, 2025 annual</t>
  </si>
  <si>
    <t xml:space="preserve">https://data.bls.gov/cew/data/api/2025/a/industry/518210.csv</t>
  </si>
  <si>
    <t xml:space="preserve">QCEW, NAICS 23 (construction), Arizona, 2025 annual</t>
  </si>
  <si>
    <t xml:space="preserve">https://data.bls.gov/cew/data/api/2025/a/industry/23.csv</t>
  </si>
  <si>
    <t xml:space="preserve">JLL</t>
  </si>
  <si>
    <t xml:space="preserve">Data Center Outlook 2026 (construction cost per MW)</t>
  </si>
  <si>
    <t xml:space="preserve">https://www.jll.com/en-us/insights/market-outlook/data-center-outlook</t>
  </si>
  <si>
    <t xml:space="preserve">Cushman &amp; Wakefield</t>
  </si>
  <si>
    <t xml:space="preserve">2026 Data Center Development Cost Guide</t>
  </si>
  <si>
    <t xml:space="preserve">https://ir.cushmanwakefield.com/news/press-release-details/2026/Cushman--Wakefield-Releases-2026-Data-Center-Development-Cost-Guide-Citing-21-Rise-in-Per-MW-Construction-Costs/default.aspx</t>
  </si>
  <si>
    <t xml:space="preserve">City of Tucson</t>
  </si>
  <si>
    <t xml:space="preserve">Project Blue updated fact sheet</t>
  </si>
  <si>
    <t xml:space="preserve">2025-07-14</t>
  </si>
  <si>
    <t xml:space="preserve">https://www.tucsonaz.gov/files/sharedassets/public/v/1/government/city-manager-office/documents/project-blue-updated-fact-sheet_250714.pdf</t>
  </si>
  <si>
    <t xml:space="preserve">County Administrator memo: Update on Project Blue</t>
  </si>
  <si>
    <t xml:space="preserve">2025-09-17</t>
  </si>
  <si>
    <t xml:space="preserve">DatacenterDynamics</t>
  </si>
  <si>
    <t xml:space="preserve">Mesa City Council approves $1bn Google data center, with $16m in tax breaks</t>
  </si>
  <si>
    <t xml:space="preserve">2019-07-03</t>
  </si>
  <si>
    <t xml:space="preserve">U.S. Census Bureau</t>
  </si>
  <si>
    <t xml:space="preserve">State population totals, Vintage 2025</t>
  </si>
  <si>
    <t xml:space="preserve">2025-12</t>
  </si>
  <si>
    <t xml:space="preserve">https://www.census.gov/data/tables/time-series/demo/popest/2020s-state-total.html</t>
  </si>
  <si>
    <t xml:space="preserve">QuickFacts Arizona: households, 2020–2024</t>
  </si>
  <si>
    <t xml:space="preserve">https://www.census.gov/quickfacts/fact/table/AZ/HSD410224</t>
  </si>
  <si>
    <t xml:space="preserve">TIGER/Line 2024 state legislative districts (upper chamber), Arizona</t>
  </si>
  <si>
    <t xml:space="preserve">https://www2.census.gov/geo/tiger/TIGER2024/SLDU/</t>
  </si>
  <si>
    <t xml:space="preserve">Member Roster, 57th Legislature</t>
  </si>
  <si>
    <t xml:space="preserve">2026-09</t>
  </si>
  <si>
    <t xml:space="preserve">https://www.azleg.gov/memberroster/</t>
  </si>
  <si>
    <t xml:space="preserve">Arizona Auditor General</t>
  </si>
  <si>
    <t xml:space="preserve">Arizona School District Spending Analysis and Data File, FY2025 (average teacher salary)</t>
  </si>
  <si>
    <t xml:space="preserve">https://www.azauditor.gov/arizona-school-district-spending-analysis-and-data-file-fiscal-year-2025</t>
  </si>
  <si>
    <t xml:space="preserve">Annual Survey of School System Finances, FY2024 (benefits share)</t>
  </si>
  <si>
    <t xml:space="preserve">https://www2.census.gov/programs-surveys/school-finances/tables/2024/secondary-education-finance/elsec24_sumtables.xlsx</t>
  </si>
  <si>
    <t xml:space="preserve">O*NET OnLine / BLS OEWS</t>
  </si>
  <si>
    <t xml:space="preserve">Local wages: Firefighters (33-2011), Arizona, 2025</t>
  </si>
  <si>
    <t xml:space="preserve">https://www.onetonline.org/link/localwages/33-2011.00?st=AZ</t>
  </si>
  <si>
    <t xml:space="preserve">Public Safety Personnel Retirement System</t>
  </si>
  <si>
    <t xml:space="preserve">Employer contribution rates, FY2026</t>
  </si>
  <si>
    <t xml:space="preserve">https://www.psprs.com/employers-local-boards/contribution-rates-reporting/pension-plans/</t>
  </si>
  <si>
    <t xml:space="preserve">KFF</t>
  </si>
  <si>
    <t xml:space="preserve">2025 Employer Health Benefits Survey</t>
  </si>
  <si>
    <t xml:space="preserve">https://www.kff.org/health-costs/2025-employer-health-benefits-survey/</t>
  </si>
  <si>
    <t xml:space="preserve">Union Members, 2025 (Table 5: by state)</t>
  </si>
  <si>
    <t xml:space="preserve">https://www.bls.gov/news.release/union2.t05.htm</t>
  </si>
  <si>
    <t xml:space="preserve">Hirsch, Macpherson &amp; Even (unionstats.com)</t>
  </si>
  <si>
    <t xml:space="preserve">Union membership and coverage by state and industry, CPS 2025</t>
  </si>
  <si>
    <t xml:space="preserve">https://www.unionstats.com/state/states_index.html</t>
  </si>
  <si>
    <t xml:space="preserve">SMART Sheet Metal Workers</t>
  </si>
  <si>
    <t xml:space="preserve">Local 359 helps secure landmark project labor agreement in Arizona (Project Blue)</t>
  </si>
  <si>
    <t xml:space="preserve">https://www.smart-union.org/local-359-helps-secure-landmark-project-labor-agreement-jobs-for-members-in-arizona/</t>
  </si>
  <si>
    <t xml:space="preserve">A.R.S. 34-321: project labor agreements on public works</t>
  </si>
  <si>
    <t xml:space="preserve">https://www.azleg.gov/ars/34/00321.htm</t>
  </si>
  <si>
    <t xml:space="preserve">CleanView</t>
  </si>
  <si>
    <t xml:space="preserve">Arizona data centers tracker</t>
  </si>
  <si>
    <t xml:space="preserve">https://cleanview.co/data-centers/arizona</t>
  </si>
  <si>
    <t xml:space="preserve">Compute Atlas</t>
  </si>
  <si>
    <t xml:space="preserve">Data centers in Arizona (open, source-cited dataset)</t>
  </si>
  <si>
    <t xml:space="preserve">https://www.compute-atlas.com/states/arizona</t>
  </si>
  <si>
    <t xml:space="preserve">Arizona Technology Council</t>
  </si>
  <si>
    <t xml:space="preserve">Microsoft agrees to make data centers air-cooled amid water infrastructure challenges in Goodyear</t>
  </si>
  <si>
    <t xml:space="preserve">2023-03-14</t>
  </si>
  <si>
    <t xml:space="preserve">https://www.aztechcouncil.org/microsoft-agrees-to-make-data-centers-air-cooled-amid-water-infrastructure-challenges-in-goodyear/</t>
  </si>
  <si>
    <t xml:space="preserve">2026 Water Stewardship Project Portfolio</t>
  </si>
  <si>
    <t xml:space="preserve">https://storage.googleapis.com/gweb-mobius-cdn/sustainability/uploads/699ac99c610bc554baaf80aef2d69cf0c5410c1a.pdf</t>
  </si>
  <si>
    <t xml:space="preserve">Google signs 480MW PPA in Arizona, including wind, solar, and battery storage</t>
  </si>
  <si>
    <t xml:space="preserve">2024-03-15</t>
  </si>
  <si>
    <t xml:space="preserve">https://www.datacenterdynamics.com/en/news/google-signs-480mw-ppa-in-arizona/</t>
  </si>
  <si>
    <t xml:space="preserve">Pinal Post</t>
  </si>
  <si>
    <t xml:space="preserve">La Osa Data Center: Where Does the $100 Million Actually Go?</t>
  </si>
  <si>
    <t xml:space="preserve">https://pinalpost.com/la-osa-data-center-where-does-the-100-million-actually-go/</t>
  </si>
  <si>
    <t xml:space="preserve">Axios Phoenix</t>
  </si>
  <si>
    <t xml:space="preserve">Data center tax break applications double ahead of moratorium</t>
  </si>
  <si>
    <t xml:space="preserve">2026-07-08</t>
  </si>
  <si>
    <t xml:space="preserve">https://www.axios.com/local/phoenix/2026/07/08/data-center-tax-break-applications-double-moratorium</t>
  </si>
  <si>
    <t xml:space="preserve">Pinal County rejects massive La Osa data center; residents want more rules for future projects</t>
  </si>
  <si>
    <t xml:space="preserve">Tax Foundation</t>
  </si>
  <si>
    <t xml:space="preserve">State and Local Sales Tax Rates, Midyear 2026</t>
  </si>
  <si>
    <t xml:space="preserve">https://taxfoundation.org/data/all/state/2026-sales-tax-rates-midyear/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</si>
</sst>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\$#,##0"/>
    <numFmt numFmtId="166" formatCode="#,##0.00"/>
    <numFmt numFmtId="167" formatCode="0.0%"/>
    <numFmt numFmtId="168" formatCode="#,##0"/>
    <numFmt numFmtId="169" formatCode="#,##0.0"/>
    <numFmt numFmtId="170" formatCode="0.00%"/>
    <numFmt numFmtId="171" formatCode="0.000"/>
    <numFmt numFmtId="172" formatCode="0"/>
    <numFmt numFmtId="173" formatCode="0.0"/>
    <numFmt numFmtId="174" formatCode="\$#,##0.00"/>
    <numFmt numFmtId="175" formatCode="0.0\x"/>
    <numFmt numFmtId="176" formatCode="0.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5345A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theme="1"/>
      <name val="Arial"/>
      <family val="0"/>
      <charset val="1"/>
    </font>
    <font>
      <i val="true"/>
      <sz val="11"/>
      <color rgb="FF6F7C90"/>
      <name val="Arial"/>
      <family val="0"/>
      <charset val="1"/>
    </font>
    <font>
      <sz val="11"/>
      <color rgb="FF6F7C90"/>
      <name val="Arial"/>
      <family val="0"/>
      <charset val="1"/>
    </font>
    <font>
      <u val="single"/>
      <sz val="11"/>
      <color rgb="FF597695"/>
      <name val="Arial"/>
      <family val="0"/>
      <charset val="1"/>
    </font>
    <font>
      <u val="single"/>
      <sz val="11"/>
      <color rgb="FF4A648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5345A"/>
        <bgColor rgb="FF333333"/>
      </patternFill>
    </fill>
    <fill>
      <patternFill patternType="solid">
        <fgColor rgb="FFFFF2CC"/>
        <bgColor rgb="FFEEF2F7"/>
      </patternFill>
    </fill>
    <fill>
      <patternFill patternType="solid">
        <fgColor rgb="FFEEF2F7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F7C90"/>
      <rgbColor rgb="FF9999FF"/>
      <rgbColor rgb="FF993366"/>
      <rgbColor rgb="FFFFF2CC"/>
      <rgbColor rgb="FFEEF2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7695"/>
      <rgbColor rgb="FF969696"/>
      <rgbColor rgb="FF15345A"/>
      <rgbColor rgb="FF339966"/>
      <rgbColor rgb="FF003300"/>
      <rgbColor rgb="FF333300"/>
      <rgbColor rgb="FF993300"/>
      <rgbColor rgb="FF993366"/>
      <rgbColor rgb="FF4A6484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arizonaai.com/data-centers" TargetMode="External"/><Relationship Id="rId2" Type="http://schemas.openxmlformats.org/officeDocument/2006/relationships/hyperlink" Target="https://www.datacentermap.com/usa/arizona/phoenix/" TargetMode="External"/><Relationship Id="rId3" Type="http://schemas.openxmlformats.org/officeDocument/2006/relationships/hyperlink" Target="https://edgecore.com/edgecore-digital-infrastructure-announces-expansion-of-its-metro-phoenix-data-center-market-to-over-450-mw/" TargetMode="External"/><Relationship Id="rId4" Type="http://schemas.openxmlformats.org/officeDocument/2006/relationships/hyperlink" Target="https://www.datacenterdynamics.com/en/news/edgecore-expands-mesa-data-center-campus-in-arizona/" TargetMode="External"/><Relationship Id="rId5" Type="http://schemas.openxmlformats.org/officeDocument/2006/relationships/hyperlink" Target="https://azbigmedia.com/real-estate/edgecore-expands-mesa-data-center-campus-to-over-450-mw/" TargetMode="External"/><Relationship Id="rId6" Type="http://schemas.openxmlformats.org/officeDocument/2006/relationships/hyperlink" Target="https://www.compute-atlas.com/facilities/edgecore-mesa-az" TargetMode="External"/><Relationship Id="rId7" Type="http://schemas.openxmlformats.org/officeDocument/2006/relationships/hyperlink" Target="https://www.compassdatacenters.com/news/compass-datacenters-begins-construction-of-first-two-data-centers-on-phoenix-campus/" TargetMode="External"/><Relationship Id="rId8" Type="http://schemas.openxmlformats.org/officeDocument/2006/relationships/hyperlink" Target="https://azbigmedia.com/business/economic-development/compass-datacenters-will-build-225-acre-goodyear-campus/" TargetMode="External"/><Relationship Id="rId9" Type="http://schemas.openxmlformats.org/officeDocument/2006/relationships/hyperlink" Target="https://www.compute-atlas.com/facilities/compass-goodyear-campus-az" TargetMode="External"/><Relationship Id="rId10" Type="http://schemas.openxmlformats.org/officeDocument/2006/relationships/hyperlink" Target="https://www.goodyearaz.gov/Home/Components/News/News/9849" TargetMode="External"/><Relationship Id="rId11" Type="http://schemas.openxmlformats.org/officeDocument/2006/relationships/hyperlink" Target="https://azbigmedia.com/business/economic-development/microsoft-will-build-3-data-centers-in-the-west-valley/" TargetMode="External"/><Relationship Id="rId12" Type="http://schemas.openxmlformats.org/officeDocument/2006/relationships/hyperlink" Target="https://www.datacenterdynamics.com/en/news/microsoft-purchases-100-acres-next-to-existing-data-center-campus-in-goodyear-arizona/" TargetMode="External"/><Relationship Id="rId13" Type="http://schemas.openxmlformats.org/officeDocument/2006/relationships/hyperlink" Target="https://www.goodyearaz.gov/Home/Components/News/News/9847/1127?arch=1" TargetMode="External"/><Relationship Id="rId14" Type="http://schemas.openxmlformats.org/officeDocument/2006/relationships/hyperlink" Target="https://azbex.com/local-news/microsoft-goodyear-update-development-agreement/" TargetMode="External"/><Relationship Id="rId15" Type="http://schemas.openxmlformats.org/officeDocument/2006/relationships/hyperlink" Target="https://local.microsoft.com/communities/americas/greater-phoenix/" TargetMode="External"/><Relationship Id="rId16" Type="http://schemas.openxmlformats.org/officeDocument/2006/relationships/hyperlink" Target="https://www.compute-atlas.com/facilities/microsoft-goodyear-az" TargetMode="External"/><Relationship Id="rId17" Type="http://schemas.openxmlformats.org/officeDocument/2006/relationships/hyperlink" Target="https://www.streamdatacenters.com/locations/phoenix/" TargetMode="External"/><Relationship Id="rId18" Type="http://schemas.openxmlformats.org/officeDocument/2006/relationships/hyperlink" Target="https://www.streamdatacenters.com/news/booming-in-the-desert-stream-commissions-new-phoenix-data-center/" TargetMode="External"/><Relationship Id="rId19" Type="http://schemas.openxmlformats.org/officeDocument/2006/relationships/hyperlink" Target="https://www.datacenterdynamics.com/en/news/stream-data-centers-opens-phoenix-i-facility-goodyear-arizona/" TargetMode="External"/><Relationship Id="rId20" Type="http://schemas.openxmlformats.org/officeDocument/2006/relationships/hyperlink" Target="https://www.streamdatacenters.com/wp-content/uploads/2026/01/SDC-Goodyear-CaseStudy-251218.pdf" TargetMode="External"/><Relationship Id="rId21" Type="http://schemas.openxmlformats.org/officeDocument/2006/relationships/hyperlink" Target="https://www.compute-atlas.com/facilities/stream-data-centers-phxa-phoenix-i-vii-goodyear-campus-az" TargetMode="External"/><Relationship Id="rId22" Type="http://schemas.openxmlformats.org/officeDocument/2006/relationships/hyperlink" Target="https://services.global.ntt/en-us/services-and-products/global-data-centers/global-locations/americas/phoenix-ph1-data-center" TargetMode="External"/><Relationship Id="rId23" Type="http://schemas.openxmlformats.org/officeDocument/2006/relationships/hyperlink" Target="https://www.aztechcouncil.org/8-metro-phoenix-data-center-developments-to-watch/" TargetMode="External"/><Relationship Id="rId24" Type="http://schemas.openxmlformats.org/officeDocument/2006/relationships/hyperlink" Target="https://www.compute-atlas.com/facilities/ntt-phoenix-ph1-data-center-az" TargetMode="External"/><Relationship Id="rId25" Type="http://schemas.openxmlformats.org/officeDocument/2006/relationships/hyperlink" Target="https://baxtel.com/data-center/phoenix" TargetMode="External"/><Relationship Id="rId26" Type="http://schemas.openxmlformats.org/officeDocument/2006/relationships/hyperlink" Target="https://www.datacentermap.com/usa/arizona/phoenix/" TargetMode="External"/><Relationship Id="rId27" Type="http://schemas.openxmlformats.org/officeDocument/2006/relationships/hyperlink" Target="https://www.stackinfra.com/locations/americas/phoenix/" TargetMode="External"/><Relationship Id="rId28" Type="http://schemas.openxmlformats.org/officeDocument/2006/relationships/hyperlink" Target="https://www.compute-atlas.com/facilities/stack-phx01-avondale-az" TargetMode="External"/><Relationship Id="rId29" Type="http://schemas.openxmlformats.org/officeDocument/2006/relationships/hyperlink" Target="https://www.datacentermap.com/usa/arizona/phoenix/" TargetMode="External"/><Relationship Id="rId30" Type="http://schemas.openxmlformats.org/officeDocument/2006/relationships/hyperlink" Target="https://q.com/data-centers/phoenix-2/" TargetMode="External"/><Relationship Id="rId31" Type="http://schemas.openxmlformats.org/officeDocument/2006/relationships/hyperlink" Target="https://www.compute-atlas.com/facilities/qts-phoenix-2-az" TargetMode="External"/><Relationship Id="rId32" Type="http://schemas.openxmlformats.org/officeDocument/2006/relationships/hyperlink" Target="https://baxtel.com/data-center/phoenix" TargetMode="External"/><Relationship Id="rId33" Type="http://schemas.openxmlformats.org/officeDocument/2006/relationships/hyperlink" Target="https://arizonaai.com/data-centers" TargetMode="External"/><Relationship Id="rId34" Type="http://schemas.openxmlformats.org/officeDocument/2006/relationships/hyperlink" Target="https://aligneddc.com/phoenix/" TargetMode="External"/><Relationship Id="rId35" Type="http://schemas.openxmlformats.org/officeDocument/2006/relationships/hyperlink" Target="https://www.datacenterdynamics.com/en/news/phoenix-data-center-will-have-63mw-on-site-generation/" TargetMode="External"/><Relationship Id="rId36" Type="http://schemas.openxmlformats.org/officeDocument/2006/relationships/hyperlink" Target="https://aligneddc.com/power-reliability-is-a-big-driver-for-aligned-data-centers-in-phoenix/" TargetMode="External"/><Relationship Id="rId37" Type="http://schemas.openxmlformats.org/officeDocument/2006/relationships/hyperlink" Target="https://www.compute-atlas.com/facilities/aligned-phx-01-02-03-az" TargetMode="External"/><Relationship Id="rId38" Type="http://schemas.openxmlformats.org/officeDocument/2006/relationships/hyperlink" Target="https://baxtel.com/data-center/phoenix" TargetMode="External"/><Relationship Id="rId39" Type="http://schemas.openxmlformats.org/officeDocument/2006/relationships/hyperlink" Target="https://arizonaai.com/data-centers" TargetMode="External"/><Relationship Id="rId40" Type="http://schemas.openxmlformats.org/officeDocument/2006/relationships/hyperlink" Target="https://vantage-dc.com/data-center-locations/north-america/phoenix-arizona/" TargetMode="External"/><Relationship Id="rId41" Type="http://schemas.openxmlformats.org/officeDocument/2006/relationships/hyperlink" Target="https://www.compute-atlas.com/facilities/vantage-phoenix-campus-goodyear-az-az" TargetMode="External"/><Relationship Id="rId42" Type="http://schemas.openxmlformats.org/officeDocument/2006/relationships/hyperlink" Target="https://www.cyrusone.com/data-centers/north-america/chandler-arizona" TargetMode="External"/><Relationship Id="rId43" Type="http://schemas.openxmlformats.org/officeDocument/2006/relationships/hyperlink" Target="https://www.compute-atlas.com/facilities/cyrusone-chandler-phx1-phx8-az" TargetMode="External"/><Relationship Id="rId44" Type="http://schemas.openxmlformats.org/officeDocument/2006/relationships/hyperlink" Target="https://mesanow.org/news/public/article/2149" TargetMode="External"/><Relationship Id="rId45" Type="http://schemas.openxmlformats.org/officeDocument/2006/relationships/hyperlink" Target="https://www.datacenterknowledge.com/business/step-inside-apple-s-data-center-in-arizona-courtesy-of-the-arizona-republic" TargetMode="External"/><Relationship Id="rId46" Type="http://schemas.openxmlformats.org/officeDocument/2006/relationships/hyperlink" Target="https://www.aztechcouncil.org/tech_magazine/apple-plants-crowning-achievement-for-renewable-energy-in-mesa/" TargetMode="External"/><Relationship Id="rId47" Type="http://schemas.openxmlformats.org/officeDocument/2006/relationships/hyperlink" Target="https://qz.com/337842/apple-is-building-a-solar-powered-data-command-center-in-arizona" TargetMode="External"/><Relationship Id="rId48" Type="http://schemas.openxmlformats.org/officeDocument/2006/relationships/hyperlink" Target="https://www.federalregister.gov/documents/full_text/text/2014/01/23/2014-01296.txt" TargetMode="External"/><Relationship Id="rId49" Type="http://schemas.openxmlformats.org/officeDocument/2006/relationships/hyperlink" Target="https://www.cultofmac.com/news/apple-data-center-mesa-arizona-details" TargetMode="External"/><Relationship Id="rId50" Type="http://schemas.openxmlformats.org/officeDocument/2006/relationships/hyperlink" Target="https://www.federalregister.gov/documents/full_text/text/2014/03/27/2014-06841.txt" TargetMode="External"/><Relationship Id="rId51" Type="http://schemas.openxmlformats.org/officeDocument/2006/relationships/hyperlink" Target="https://www.compute-atlas.com/facilities/apple-mesa-az" TargetMode="External"/><Relationship Id="rId52" Type="http://schemas.openxmlformats.org/officeDocument/2006/relationships/hyperlink" Target="https://www.datacenterdynamics.com/en/news/google-breaks-ground-on-mesa-data-center-campus-in-arizona/" TargetMode="External"/><Relationship Id="rId53" Type="http://schemas.openxmlformats.org/officeDocument/2006/relationships/hyperlink" Target="https://azbex.com/planning-development/google-planning-next-phase-of-mesa-data-center-facility/" TargetMode="External"/><Relationship Id="rId54" Type="http://schemas.openxmlformats.org/officeDocument/2006/relationships/hyperlink" Target="https://www.datacenterdynamics.com/en/news/mesa-council-approves-1bn-google-arizona-data-center-16m-tax-breaks/" TargetMode="External"/><Relationship Id="rId55" Type="http://schemas.openxmlformats.org/officeDocument/2006/relationships/hyperlink" Target="https://mesa.legistar.com/View.ashx?M=F&amp;ID=7431552&amp;GUID=F48E7DF7-C483-4237-8F54-83D08F5E1935" TargetMode="External"/><Relationship Id="rId56" Type="http://schemas.openxmlformats.org/officeDocument/2006/relationships/hyperlink" Target="https://mesa.legistar.com/View.ashx?M=F&amp;ID=7431554&amp;GUID=560CC2A3-8A23-4144-8CCB-CB9D273698B2" TargetMode="External"/><Relationship Id="rId57" Type="http://schemas.openxmlformats.org/officeDocument/2006/relationships/hyperlink" Target="https://legistar1.granicus.com/Mesa/attachments/eb9e229a-330d-417b-bf35-95ed173402fc.doc" TargetMode="External"/><Relationship Id="rId58" Type="http://schemas.openxmlformats.org/officeDocument/2006/relationships/hyperlink" Target="https://legistar1.granicus.com/Mesa/attachments/e2e1b966-a066-4ba7-b9a6-ec11167a332d.pdf" TargetMode="External"/><Relationship Id="rId59" Type="http://schemas.openxmlformats.org/officeDocument/2006/relationships/hyperlink" Target="https://www.compute-atlas.com/facilities/google-redhawk-mesa-az" TargetMode="External"/><Relationship Id="rId60" Type="http://schemas.openxmlformats.org/officeDocument/2006/relationships/hyperlink" Target="https://azbex.com/planning-development/2-new-data-centers-coming-to-chandler/" TargetMode="External"/><Relationship Id="rId61" Type="http://schemas.openxmlformats.org/officeDocument/2006/relationships/hyperlink" Target="https://www.datacentermap.com/usa/arizona/phoenix/aligned-phx04/" TargetMode="External"/><Relationship Id="rId62" Type="http://schemas.openxmlformats.org/officeDocument/2006/relationships/hyperlink" Target="https://datacenterhawk.com/marketplace/providers/aligned-data-centers/2955-w-innovation-street/phx-06" TargetMode="External"/><Relationship Id="rId63" Type="http://schemas.openxmlformats.org/officeDocument/2006/relationships/hyperlink" Target="https://baxtel.com/data-center/phoenix" TargetMode="External"/><Relationship Id="rId64" Type="http://schemas.openxmlformats.org/officeDocument/2006/relationships/hyperlink" Target="https://arizonaai.com/data-centers" TargetMode="External"/><Relationship Id="rId65" Type="http://schemas.openxmlformats.org/officeDocument/2006/relationships/hyperlink" Target="https://baxtel.com/data-center/iron-mountain-azp3" TargetMode="External"/><Relationship Id="rId66" Type="http://schemas.openxmlformats.org/officeDocument/2006/relationships/hyperlink" Target="https://www.aztechcouncil.org/8-metro-phoenix-data-center-developments-to-watch/" TargetMode="External"/><Relationship Id="rId67" Type="http://schemas.openxmlformats.org/officeDocument/2006/relationships/hyperlink" Target="https://www.ironmountain.com/data-centers/locations/phoenix-data-center" TargetMode="External"/><Relationship Id="rId68" Type="http://schemas.openxmlformats.org/officeDocument/2006/relationships/hyperlink" Target="https://www.compute-atlas.com/facilities/iron-mountain-azp-1-az" TargetMode="External"/><Relationship Id="rId69" Type="http://schemas.openxmlformats.org/officeDocument/2006/relationships/hyperlink" Target="https://datacenters.atmeta.com/2025/01/mesa-we-are-online/" TargetMode="External"/><Relationship Id="rId70" Type="http://schemas.openxmlformats.org/officeDocument/2006/relationships/hyperlink" Target="https://baxtel.com/data-center/meta-mesa-az-campus" TargetMode="External"/><Relationship Id="rId71" Type="http://schemas.openxmlformats.org/officeDocument/2006/relationships/hyperlink" Target="https://media.srpnet.com/meta-teams-up-with-srp-and-rsted-to-support-data-center-with-clean-energy-from-new-solar-and-battery--project/" TargetMode="External"/><Relationship Id="rId72" Type="http://schemas.openxmlformats.org/officeDocument/2006/relationships/hyperlink" Target="https://datacenters.atmeta.com/asset/mesa-data-center-info-sheet/" TargetMode="External"/><Relationship Id="rId73" Type="http://schemas.openxmlformats.org/officeDocument/2006/relationships/hyperlink" Target="https://www.aztechcouncil.org/meta-expands-plans-for-proposed-large-scale-mesa-data-center/" TargetMode="External"/><Relationship Id="rId74" Type="http://schemas.openxmlformats.org/officeDocument/2006/relationships/hyperlink" Target="https://legistar1.granicus.com/Mesa/attachments/7e390610-b558-426d-aa10-c7aa2825530d.doc" TargetMode="External"/><Relationship Id="rId75" Type="http://schemas.openxmlformats.org/officeDocument/2006/relationships/hyperlink" Target="https://www.compute-atlas.com/facilities/meta-mesa-az" TargetMode="External"/><Relationship Id="rId76" Type="http://schemas.openxmlformats.org/officeDocument/2006/relationships/hyperlink" Target="https://arizonaai.com/data-centers" TargetMode="External"/><Relationship Id="rId77" Type="http://schemas.openxmlformats.org/officeDocument/2006/relationships/hyperlink" Target="https://baxtel.com/data-center/phoenix" TargetMode="External"/><Relationship Id="rId78" Type="http://schemas.openxmlformats.org/officeDocument/2006/relationships/hyperlink" Target="https://www.digitalrealty.com/data-centers/americas/phoenix/phx15" TargetMode="External"/><Relationship Id="rId79" Type="http://schemas.openxmlformats.org/officeDocument/2006/relationships/hyperlink" Target="https://www.compute-atlas.com/facilities/digital-realty-phx15-az" TargetMode="External"/><Relationship Id="rId80" Type="http://schemas.openxmlformats.org/officeDocument/2006/relationships/hyperlink" Target="https://arizonaai.com/data-centers" TargetMode="External"/><Relationship Id="rId81" Type="http://schemas.openxmlformats.org/officeDocument/2006/relationships/hyperlink" Target="https://www.datacentermap.com/usa/arizona/phoenix/" TargetMode="External"/><Relationship Id="rId82" Type="http://schemas.openxmlformats.org/officeDocument/2006/relationships/hyperlink" Target="https://edged.us/news/edged-us-opens-waterless-ai-ready-data-center-in-the-heart-of-arizonas-silicon-desert-tech-corridor" TargetMode="External"/><Relationship Id="rId83" Type="http://schemas.openxmlformats.org/officeDocument/2006/relationships/hyperlink" Target="https://www.compute-atlas.com/facilities/edged-mesa-az" TargetMode="External"/><Relationship Id="rId84" Type="http://schemas.openxmlformats.org/officeDocument/2006/relationships/hyperlink" Target="https://www.digitalrealty.com/data-centers/americas/phoenix" TargetMode="External"/><Relationship Id="rId85" Type="http://schemas.openxmlformats.org/officeDocument/2006/relationships/hyperlink" Target="https://www.compute-atlas.com/facilities/digital-realty-phx-tempe-az" TargetMode="External"/><Relationship Id="rId86" Type="http://schemas.openxmlformats.org/officeDocument/2006/relationships/hyperlink" Target="https://www.datacentermap.com/usa/arizona/phoenix/" TargetMode="External"/><Relationship Id="rId87" Type="http://schemas.openxmlformats.org/officeDocument/2006/relationships/hyperlink" Target="https://baxtel.com/data-center/phoenix" TargetMode="External"/><Relationship Id="rId88" Type="http://schemas.openxmlformats.org/officeDocument/2006/relationships/hyperlink" Target="https://arizonaai.com/data-centers" TargetMode="External"/><Relationship Id="rId89" Type="http://schemas.openxmlformats.org/officeDocument/2006/relationships/hyperlink" Target="https://azbex.com/planning-development/lpc-takes-over-frye-road-data-center-expansion/" TargetMode="External"/><Relationship Id="rId90" Type="http://schemas.openxmlformats.org/officeDocument/2006/relationships/hyperlink" Target="https://www.datacentermap.com/usa/arizona/phoenix/" TargetMode="External"/><Relationship Id="rId91" Type="http://schemas.openxmlformats.org/officeDocument/2006/relationships/hyperlink" Target="https://baxtel.com/data-center/phoenix" TargetMode="External"/><Relationship Id="rId92" Type="http://schemas.openxmlformats.org/officeDocument/2006/relationships/hyperlink" Target="https://h5datacenters.com/phoenix-data-center.html" TargetMode="External"/><Relationship Id="rId93" Type="http://schemas.openxmlformats.org/officeDocument/2006/relationships/hyperlink" Target="https://www.compute-atlas.com/facilities/h5-data-centers-chandler-az" TargetMode="External"/><Relationship Id="rId94" Type="http://schemas.openxmlformats.org/officeDocument/2006/relationships/hyperlink" Target="https://www.csquare.com/data-centers/phoenix" TargetMode="External"/><Relationship Id="rId95" Type="http://schemas.openxmlformats.org/officeDocument/2006/relationships/hyperlink" Target="https://www.compute-atlas.com/facilities/centersquare-phx3-az" TargetMode="External"/><Relationship Id="rId96" Type="http://schemas.openxmlformats.org/officeDocument/2006/relationships/hyperlink" Target="https://www.csquare.com/data-centers/phoenix" TargetMode="External"/><Relationship Id="rId97" Type="http://schemas.openxmlformats.org/officeDocument/2006/relationships/hyperlink" Target="https://www.datacentermap.com/usa/arizona/phoenix/" TargetMode="External"/><Relationship Id="rId98" Type="http://schemas.openxmlformats.org/officeDocument/2006/relationships/hyperlink" Target="https://www.ironmountain.com/data-centers/locations/scottsdale-data-center" TargetMode="External"/><Relationship Id="rId99" Type="http://schemas.openxmlformats.org/officeDocument/2006/relationships/hyperlink" Target="https://www.compute-atlas.com/facilities/iron-mountain-azs-1-az" TargetMode="External"/><Relationship Id="rId100" Type="http://schemas.openxmlformats.org/officeDocument/2006/relationships/hyperlink" Target="https://www.flexential.com/data-centers/az/phoenix/deer-valley-data-center" TargetMode="External"/><Relationship Id="rId101" Type="http://schemas.openxmlformats.org/officeDocument/2006/relationships/hyperlink" Target="https://www.compute-atlas.com/facilities/flexential-phoenix-deer-valley-az" TargetMode="External"/><Relationship Id="rId102" Type="http://schemas.openxmlformats.org/officeDocument/2006/relationships/hyperlink" Target="https://www.datacentermap.com/usa/arizona/phoenix/" TargetMode="External"/><Relationship Id="rId103" Type="http://schemas.openxmlformats.org/officeDocument/2006/relationships/hyperlink" Target="https://baxtel.com/data-center/phoenix" TargetMode="External"/><Relationship Id="rId104" Type="http://schemas.openxmlformats.org/officeDocument/2006/relationships/hyperlink" Target="https://arizonaai.com/data-centers" TargetMode="External"/><Relationship Id="rId105" Type="http://schemas.openxmlformats.org/officeDocument/2006/relationships/hyperlink" Target="https://www.datacenterdynamics.com/en/news/microsoft-files-to-expand-el-mirage-data-center-campus-in-arizona/" TargetMode="External"/><Relationship Id="rId106" Type="http://schemas.openxmlformats.org/officeDocument/2006/relationships/hyperlink" Target="https://azbex.com/planning-development/microsoft-data-center-new-spec-industrial-planned-in-el-mirage/" TargetMode="External"/><Relationship Id="rId107" Type="http://schemas.openxmlformats.org/officeDocument/2006/relationships/hyperlink" Target="https://www.aztechcouncil.org/microsoft-buys-land-el-mirage-data-center/" TargetMode="External"/><Relationship Id="rId108" Type="http://schemas.openxmlformats.org/officeDocument/2006/relationships/hyperlink" Target="https://www.datacenterdynamics.com/en/news/microsoft-files-to-expand-el-mirage-data-center-campus-in-arizona/" TargetMode="External"/><Relationship Id="rId109" Type="http://schemas.openxmlformats.org/officeDocument/2006/relationships/hyperlink" Target="https://local.microsoft.com/communities/americas/greater-phoenix/" TargetMode="External"/><Relationship Id="rId110" Type="http://schemas.openxmlformats.org/officeDocument/2006/relationships/hyperlink" Target="https://www.compute-atlas.com/facilities/microsoft-el-mirage-az" TargetMode="External"/><Relationship Id="rId111" Type="http://schemas.openxmlformats.org/officeDocument/2006/relationships/hyperlink" Target="https://azbex.com/planning-development/new-data-center-planned-in-south-phoenix/" TargetMode="External"/><Relationship Id="rId112" Type="http://schemas.openxmlformats.org/officeDocument/2006/relationships/hyperlink" Target="https://www.radius-dc.com/insights-resources/phoenix-arizona" TargetMode="External"/><Relationship Id="rId113" Type="http://schemas.openxmlformats.org/officeDocument/2006/relationships/hyperlink" Target="https://www.datacentermap.com/usa/arizona/phoenix/" TargetMode="External"/><Relationship Id="rId114" Type="http://schemas.openxmlformats.org/officeDocument/2006/relationships/hyperlink" Target="https://www.datacentermap.com/usa/arizona/phoenix/" TargetMode="External"/><Relationship Id="rId115" Type="http://schemas.openxmlformats.org/officeDocument/2006/relationships/hyperlink" Target="https://baxtel.com/data-center/phoenix" TargetMode="External"/><Relationship Id="rId116" Type="http://schemas.openxmlformats.org/officeDocument/2006/relationships/hyperlink" Target="https://www.datacentermap.com/usa/arizona/phoenix/" TargetMode="External"/><Relationship Id="rId117" Type="http://schemas.openxmlformats.org/officeDocument/2006/relationships/hyperlink" Target="https://www.datacenters.com/lumen-phoenix-1" TargetMode="External"/><Relationship Id="rId118" Type="http://schemas.openxmlformats.org/officeDocument/2006/relationships/hyperlink" Target="https://www.compute-atlas.com/facilities/lumen-phoenix-1-az" TargetMode="External"/><Relationship Id="rId119" Type="http://schemas.openxmlformats.org/officeDocument/2006/relationships/hyperlink" Target="https://www.datacentermap.com/usa/arizona/phoenix/" TargetMode="External"/><Relationship Id="rId120" Type="http://schemas.openxmlformats.org/officeDocument/2006/relationships/hyperlink" Target="https://www.datacentermap.com/usa/arizona/phoenix/" TargetMode="External"/><Relationship Id="rId121" Type="http://schemas.openxmlformats.org/officeDocument/2006/relationships/hyperlink" Target="https://www.datacentermap.com/usa/arizona/phoenix/" TargetMode="External"/><Relationship Id="rId122" Type="http://schemas.openxmlformats.org/officeDocument/2006/relationships/hyperlink" Target="https://www.datacentermap.com/usa/arizona/phoenix/" TargetMode="External"/><Relationship Id="rId123" Type="http://schemas.openxmlformats.org/officeDocument/2006/relationships/hyperlink" Target="https://www.datacentermap.com/usa/arizona/phoenix/" TargetMode="External"/><Relationship Id="rId124" Type="http://schemas.openxmlformats.org/officeDocument/2006/relationships/hyperlink" Target="https://www.datacentermap.com/usa/arizona/phoenix/" TargetMode="External"/><Relationship Id="rId125" Type="http://schemas.openxmlformats.org/officeDocument/2006/relationships/hyperlink" Target="https://www.datacentermap.com/usa/arizona/phoenix/" TargetMode="External"/><Relationship Id="rId126" Type="http://schemas.openxmlformats.org/officeDocument/2006/relationships/hyperlink" Target="https://www.datacentermap.com/usa/arizona/phoenix/" TargetMode="External"/><Relationship Id="rId127" Type="http://schemas.openxmlformats.org/officeDocument/2006/relationships/hyperlink" Target="https://www.datacentermap.com/usa/arizona/phoenix/" TargetMode="External"/><Relationship Id="rId128" Type="http://schemas.openxmlformats.org/officeDocument/2006/relationships/hyperlink" Target="https://www.datacentermap.com/usa/arizona/phoenix/" TargetMode="External"/><Relationship Id="rId129" Type="http://schemas.openxmlformats.org/officeDocument/2006/relationships/hyperlink" Target="https://www.datacentermap.com/usa/arizona/phoenix/" TargetMode="External"/><Relationship Id="rId130" Type="http://schemas.openxmlformats.org/officeDocument/2006/relationships/hyperlink" Target="https://www.datacentermap.com/usa/arizona/phoenix/" TargetMode="External"/><Relationship Id="rId131" Type="http://schemas.openxmlformats.org/officeDocument/2006/relationships/hyperlink" Target="https://www.datacentermap.com/usa/arizona/phoenix/" TargetMode="External"/><Relationship Id="rId132" Type="http://schemas.openxmlformats.org/officeDocument/2006/relationships/hyperlink" Target="https://www.datacentermap.com/usa/arizona/phoenix/" TargetMode="External"/><Relationship Id="rId133" Type="http://schemas.openxmlformats.org/officeDocument/2006/relationships/hyperlink" Target="https://www.datacentermap.com/usa/arizona/phoenix/" TargetMode="External"/><Relationship Id="rId134" Type="http://schemas.openxmlformats.org/officeDocument/2006/relationships/hyperlink" Target="https://www.datacentermap.com/usa/arizona/phoenix/" TargetMode="External"/><Relationship Id="rId135" Type="http://schemas.openxmlformats.org/officeDocument/2006/relationships/hyperlink" Target="https://www.datacentermap.com/usa/arizona/phoenix/" TargetMode="External"/><Relationship Id="rId136" Type="http://schemas.openxmlformats.org/officeDocument/2006/relationships/hyperlink" Target="https://www.datacentermap.com/usa/arizona/phoenix/" TargetMode="External"/><Relationship Id="rId137" Type="http://schemas.openxmlformats.org/officeDocument/2006/relationships/hyperlink" Target="https://www.datacentermap.com/usa/arizona/phoenix/" TargetMode="External"/><Relationship Id="rId138" Type="http://schemas.openxmlformats.org/officeDocument/2006/relationships/hyperlink" Target="https://www.datacentermap.com/usa/arizona/phoenix/" TargetMode="External"/><Relationship Id="rId139" Type="http://schemas.openxmlformats.org/officeDocument/2006/relationships/hyperlink" Target="https://baxtel.com/data-center/phoenix" TargetMode="External"/><Relationship Id="rId140" Type="http://schemas.openxmlformats.org/officeDocument/2006/relationships/hyperlink" Target="https://baxtel.com/data-center/phoenix" TargetMode="External"/><Relationship Id="rId141" Type="http://schemas.openxmlformats.org/officeDocument/2006/relationships/hyperlink" Target="https://baxtel.com/data-center/phoenix" TargetMode="External"/><Relationship Id="rId142" Type="http://schemas.openxmlformats.org/officeDocument/2006/relationships/hyperlink" Target="https://baxtel.com/data-center/phoenix" TargetMode="External"/><Relationship Id="rId143" Type="http://schemas.openxmlformats.org/officeDocument/2006/relationships/hyperlink" Target="https://arizonaai.com/data-centers" TargetMode="External"/><Relationship Id="rId144" Type="http://schemas.openxmlformats.org/officeDocument/2006/relationships/hyperlink" Target="https://arizonaai.com/data-centers" TargetMode="External"/><Relationship Id="rId145" Type="http://schemas.openxmlformats.org/officeDocument/2006/relationships/hyperlink" Target="https://arizonaai.com/data-centers" TargetMode="External"/><Relationship Id="rId146" Type="http://schemas.openxmlformats.org/officeDocument/2006/relationships/hyperlink" Target="https://www.datacentermap.com/usa/arizona/tucson/" TargetMode="External"/><Relationship Id="rId147" Type="http://schemas.openxmlformats.org/officeDocument/2006/relationships/hyperlink" Target="https://www.datacentermap.com/usa/arizona/tucson/" TargetMode="External"/><Relationship Id="rId148" Type="http://schemas.openxmlformats.org/officeDocument/2006/relationships/hyperlink" Target="https://www.datacentermap.com/usa/arizona/tucson/" TargetMode="External"/><Relationship Id="rId149" Type="http://schemas.openxmlformats.org/officeDocument/2006/relationships/hyperlink" Target="https://www.datacentermap.com/usa/arizona/tucson/" TargetMode="External"/><Relationship Id="rId150" Type="http://schemas.openxmlformats.org/officeDocument/2006/relationships/hyperlink" Target="https://www.datacentermap.com/usa/arizona/tucson/" TargetMode="External"/><Relationship Id="rId151" Type="http://schemas.openxmlformats.org/officeDocument/2006/relationships/hyperlink" Target="https://www.datacentermap.com/usa/arizona/tucson/" TargetMode="External"/><Relationship Id="rId152" Type="http://schemas.openxmlformats.org/officeDocument/2006/relationships/hyperlink" Target="https://www.datacentermap.com/usa/arizona/tucson/" TargetMode="External"/><Relationship Id="rId153" Type="http://schemas.openxmlformats.org/officeDocument/2006/relationships/hyperlink" Target="https://www.datacentermap.com/usa/arizona/tucson/" TargetMode="External"/><Relationship Id="rId154" Type="http://schemas.openxmlformats.org/officeDocument/2006/relationships/hyperlink" Target="https://www.datacentermap.com/usa/arizona/tucson/" TargetMode="External"/><Relationship Id="rId155" Type="http://schemas.openxmlformats.org/officeDocument/2006/relationships/hyperlink" Target="https://www.datacentermap.com/usa/arizona/phoenix/microsoft-goodyear-airpark-campus/" TargetMode="External"/><Relationship Id="rId156" Type="http://schemas.openxmlformats.org/officeDocument/2006/relationships/hyperlink" Target="https://azbigmedia.com/business/economic-development/microsoft-will-build-3-data-centers-in-the-west-valley/" TargetMode="External"/><Relationship Id="rId157" Type="http://schemas.openxmlformats.org/officeDocument/2006/relationships/hyperlink" Target="https://www.datacenterdynamics.com/en/news/beale-infrastructure-plans-second-data-center-campus-outside-tucson-arizona-and-two-outside-tulsa-oklahoma/" TargetMode="External"/><Relationship Id="rId158" Type="http://schemas.openxmlformats.org/officeDocument/2006/relationships/hyperlink" Target="https://www.azfamily.com/2026/01/09/two-southern-arizona-data-centers-move-forward-so-do-fights-over-power-water-growth/" TargetMode="External"/><Relationship Id="rId159" Type="http://schemas.openxmlformats.org/officeDocument/2006/relationships/hyperlink" Target="https://azluminaria.org/2025/10/01/pima-county-nda-confirms-amazon-is-behind-project-blue-data-center/" TargetMode="External"/><Relationship Id="rId160" Type="http://schemas.openxmlformats.org/officeDocument/2006/relationships/hyperlink" Target="https://www.kold.com/2026/04/25/construction-begins-first-hyper-scale-data-center-pima-county/" TargetMode="External"/><Relationship Id="rId161" Type="http://schemas.openxmlformats.org/officeDocument/2006/relationships/hyperlink" Target="https://www.kjzz.org/fronteras-desk/2026-04-27/as-project-blue-data-center-construction-starts-near-tucson-protesters-rally-outside" TargetMode="External"/><Relationship Id="rId162" Type="http://schemas.openxmlformats.org/officeDocument/2006/relationships/hyperlink" Target="https://content.civicplus.com/api/assets/2192e865-fe7e-48f4-8a0c-7c1c8b5cd32c" TargetMode="External"/><Relationship Id="rId163" Type="http://schemas.openxmlformats.org/officeDocument/2006/relationships/hyperlink" Target="https://www.pima.gov/3552/Project-Blue-FAQ" TargetMode="External"/><Relationship Id="rId164" Type="http://schemas.openxmlformats.org/officeDocument/2006/relationships/hyperlink" Target="https://constructionreviewonline.com/construction-begins-on-project-blue-pima-countys-first-hyperscale-data-center/" TargetMode="External"/><Relationship Id="rId165" Type="http://schemas.openxmlformats.org/officeDocument/2006/relationships/hyperlink" Target="https://www.compute-atlas.com/facilities/beale-project-blue-pima-county-az" TargetMode="External"/><Relationship Id="rId166" Type="http://schemas.openxmlformats.org/officeDocument/2006/relationships/hyperlink" Target="https://www.novva.com/media-center/novva-data-centers-announces-new-campus-in-mesa/" TargetMode="External"/><Relationship Id="rId167" Type="http://schemas.openxmlformats.org/officeDocument/2006/relationships/hyperlink" Target="https://www.datacenterdynamics.com/en/news/novva-confirmed-as-behind-project-borealis-data-center-campus-in-phoenix-arizona/" TargetMode="External"/><Relationship Id="rId168" Type="http://schemas.openxmlformats.org/officeDocument/2006/relationships/hyperlink" Target="https://legistar1.granicus.com/Mesa/attachments/d6c1b1ca-28ad-400c-8d28-a59aca19080e.pdf" TargetMode="External"/><Relationship Id="rId169" Type="http://schemas.openxmlformats.org/officeDocument/2006/relationships/hyperlink" Target="https://legistar1.granicus.com/Mesa/attachments/a49b6d5a-09db-4b36-845e-756af027c367.doc" TargetMode="External"/><Relationship Id="rId170" Type="http://schemas.openxmlformats.org/officeDocument/2006/relationships/hyperlink" Target="https://www.prnewswire.com/news-releases/novva-data-centers-announces-new-campus-in-mesa-302227476.html" TargetMode="External"/><Relationship Id="rId171" Type="http://schemas.openxmlformats.org/officeDocument/2006/relationships/hyperlink" Target="https://www.compute-atlas.com/facilities/novva-mesa-az" TargetMode="External"/><Relationship Id="rId172" Type="http://schemas.openxmlformats.org/officeDocument/2006/relationships/hyperlink" Target="https://www.stackinfra.com/locations/americas/phoenix/phx02/" TargetMode="External"/><Relationship Id="rId173" Type="http://schemas.openxmlformats.org/officeDocument/2006/relationships/hyperlink" Target="https://datacenterhawk.com/marketplace/providers/stack-infrastructure/800-n-40th-street/phx02-building-1" TargetMode="External"/><Relationship Id="rId174" Type="http://schemas.openxmlformats.org/officeDocument/2006/relationships/hyperlink" Target="https://www.compute-atlas.com/facilities/stack-phx02-phoenix-az" TargetMode="External"/><Relationship Id="rId175" Type="http://schemas.openxmlformats.org/officeDocument/2006/relationships/hyperlink" Target="https://primedatacenters.com/news/prime-data-centers-breaks-ground-on-three-buildings-at-its-240mw-phoenix-campus-advancing-3billion-dollar-investment-in-avondale/" TargetMode="External"/><Relationship Id="rId176" Type="http://schemas.openxmlformats.org/officeDocument/2006/relationships/hyperlink" Target="https://primedatacenters.com/wp-content/uploads/2025/10/PDC_Phoenix_TechSheet_PHX01_04.pdf" TargetMode="External"/><Relationship Id="rId177" Type="http://schemas.openxmlformats.org/officeDocument/2006/relationships/hyperlink" Target="https://www.compute-atlas.com/facilities/prime-avondale-az" TargetMode="External"/><Relationship Id="rId178" Type="http://schemas.openxmlformats.org/officeDocument/2006/relationships/hyperlink" Target="https://menlo-digital.com/portfolio/md-phx1-phoenix/" TargetMode="External"/><Relationship Id="rId179" Type="http://schemas.openxmlformats.org/officeDocument/2006/relationships/hyperlink" Target="https://www.datacentermap.com/usa/arizona/phoenix/menlo-digital-md-px1-campus/" TargetMode="External"/><Relationship Id="rId180" Type="http://schemas.openxmlformats.org/officeDocument/2006/relationships/hyperlink" Target="https://arizonaai.com/data-centers" TargetMode="External"/><Relationship Id="rId181" Type="http://schemas.openxmlformats.org/officeDocument/2006/relationships/hyperlink" Target="https://www.datacenterdynamics.com/en/news/edgeconnex-files-for-new-1-million-sq-ft-data-center-campus-in-mesa-arizona/" TargetMode="External"/><Relationship Id="rId182" Type="http://schemas.openxmlformats.org/officeDocument/2006/relationships/hyperlink" Target="https://www.compute-atlas.com/facilities/edgeconnex-mesa-campus-phx11-3302-s-hawes-rd-az" TargetMode="External"/><Relationship Id="rId183" Type="http://schemas.openxmlformats.org/officeDocument/2006/relationships/hyperlink" Target="https://www.datacenterdynamics.com/en/news/aws-plots-four-data-centers-in-mesa-arizona/" TargetMode="External"/><Relationship Id="rId184" Type="http://schemas.openxmlformats.org/officeDocument/2006/relationships/hyperlink" Target="https://www.aztechcouncil.org/amazon-submits-plans-for-multiple-data-centers-in-mesa/" TargetMode="External"/><Relationship Id="rId185" Type="http://schemas.openxmlformats.org/officeDocument/2006/relationships/hyperlink" Target="https://www.datacentermap.com/usa/arizona/phoenix/amazon-aws-phx-9848-e-pecos-road/" TargetMode="External"/><Relationship Id="rId186" Type="http://schemas.openxmlformats.org/officeDocument/2006/relationships/hyperlink" Target="https://arizonaai.com/data-centers" TargetMode="External"/><Relationship Id="rId187" Type="http://schemas.openxmlformats.org/officeDocument/2006/relationships/hyperlink" Target="https://www.datacentermap.com/usa/arizona/phoenix/" TargetMode="External"/><Relationship Id="rId188" Type="http://schemas.openxmlformats.org/officeDocument/2006/relationships/hyperlink" Target="https://baxtel.com/data-center/phoenix" TargetMode="External"/><Relationship Id="rId189" Type="http://schemas.openxmlformats.org/officeDocument/2006/relationships/hyperlink" Target="https://news.constructconnect.com/aligned-data-centers-breaks-ground-in-glendale-expanding-arizona-infrastructure" TargetMode="External"/><Relationship Id="rId190" Type="http://schemas.openxmlformats.org/officeDocument/2006/relationships/hyperlink" Target="https://dcnnmagazine.com/data-centres/aligned-data-centers-breaks-ground-on-glendale-facility/" TargetMode="External"/><Relationship Id="rId191" Type="http://schemas.openxmlformats.org/officeDocument/2006/relationships/hyperlink" Target="https://www.glendalestar.com/news/aligned-data-centers-breaks-ground/article_4c7a2620-ccc3-4821-a236-dbfedb40ae85.html" TargetMode="External"/><Relationship Id="rId192" Type="http://schemas.openxmlformats.org/officeDocument/2006/relationships/hyperlink" Target="https://www.datacenterdynamics.com/en/news/aligned-breaks-ground-on-data-center-in-phoenix-arizona/" TargetMode="External"/><Relationship Id="rId193" Type="http://schemas.openxmlformats.org/officeDocument/2006/relationships/hyperlink" Target="https://www.constructconnect.com/construction-economic-news/aligned-data-centers-breaks-ground-on-phx-13-facility-expanding-arizona-infrastructure" TargetMode="External"/><Relationship Id="rId194" Type="http://schemas.openxmlformats.org/officeDocument/2006/relationships/hyperlink" Target="https://www.glendaleaz.gov/Business/Economic-Development/Economic-Development-News/2025/Aligned-Data-Centers-Breaks-Ground-on-Phx-13-Facility" TargetMode="External"/><Relationship Id="rId195" Type="http://schemas.openxmlformats.org/officeDocument/2006/relationships/hyperlink" Target="https://www.compute-atlas.com/facilities/aligned-phx13-glendale-az" TargetMode="External"/><Relationship Id="rId196" Type="http://schemas.openxmlformats.org/officeDocument/2006/relationships/hyperlink" Target="https://www.prnewswire.com/news-releases/5c-data-centers-announces-new-data-center-region-in-phoenix-arizona-302252217.html" TargetMode="External"/><Relationship Id="rId197" Type="http://schemas.openxmlformats.org/officeDocument/2006/relationships/hyperlink" Target="https://www.gpec.org/news/5c-data-centers-new-data-center-region-in-phoenix/" TargetMode="External"/><Relationship Id="rId198" Type="http://schemas.openxmlformats.org/officeDocument/2006/relationships/hyperlink" Target="https://baxtel.com/data-center/5cdc-phoenix-phx01" TargetMode="External"/><Relationship Id="rId199" Type="http://schemas.openxmlformats.org/officeDocument/2006/relationships/hyperlink" Target="https://www.compute-atlas.com/facilities/5c-data-centers-phx01-phoenix-az" TargetMode="External"/><Relationship Id="rId200" Type="http://schemas.openxmlformats.org/officeDocument/2006/relationships/hyperlink" Target="https://www.datacenterdynamics.com/en/news/qts-acquires-200-acres-in-avondale-area-of-phoenix-arizona/" TargetMode="External"/><Relationship Id="rId201" Type="http://schemas.openxmlformats.org/officeDocument/2006/relationships/hyperlink" Target="https://www.datacentermap.com/usa/arizona/phoenix/qts-avondale/" TargetMode="External"/><Relationship Id="rId202" Type="http://schemas.openxmlformats.org/officeDocument/2006/relationships/hyperlink" Target="https://baxtel.com/data-center/qts-hermosa-ranch" TargetMode="External"/><Relationship Id="rId203" Type="http://schemas.openxmlformats.org/officeDocument/2006/relationships/hyperlink" Target="https://q.com/data-centers/phoenix-4/" TargetMode="External"/><Relationship Id="rId204" Type="http://schemas.openxmlformats.org/officeDocument/2006/relationships/hyperlink" Target="https://www.compute-atlas.com/facilities/qts-phoenix-4-tolleson-az" TargetMode="External"/><Relationship Id="rId205" Type="http://schemas.openxmlformats.org/officeDocument/2006/relationships/hyperlink" Target="https://www.globenewswire.com/news-release/2024/08/28/2937145/0/en/Tract-Closes-Acquisition-of-2-069-acres-in-Buckeye-Arizona.html" TargetMode="External"/><Relationship Id="rId206" Type="http://schemas.openxmlformats.org/officeDocument/2006/relationships/hyperlink" Target="https://www.datacenterdynamics.com/en/news/tract-plans-1700-acre-data-center-campus-in-phoenix-arizona/" TargetMode="External"/><Relationship Id="rId207" Type="http://schemas.openxmlformats.org/officeDocument/2006/relationships/hyperlink" Target="https://azbigmedia.com/real-estate/2069-acre-parcel-will-become-a20-billion-data-center-park-in-buckeye/" TargetMode="External"/><Relationship Id="rId208" Type="http://schemas.openxmlformats.org/officeDocument/2006/relationships/hyperlink" Target="https://azbex.com/planning-development/tract-planning-1700-acre-buckeye-data-center-campus/" TargetMode="External"/><Relationship Id="rId209" Type="http://schemas.openxmlformats.org/officeDocument/2006/relationships/hyperlink" Target="https://www.tract.com/project/buckeye/" TargetMode="External"/><Relationship Id="rId210" Type="http://schemas.openxmlformats.org/officeDocument/2006/relationships/hyperlink" Target="https://www.azfamily.com/2024/08/30/developer-wants-power-future-ai-buckeye-with-new-data-center/" TargetMode="External"/><Relationship Id="rId211" Type="http://schemas.openxmlformats.org/officeDocument/2006/relationships/hyperlink" Target="https://d3n9y02raazwpg.cloudfront.net/buckeyeaz/0eb9a025-6f87-11ee-b4aa-0050569183fa-8fca9741-32ef-4a0f-b8ad-ee8a00454790-1722900291.pdf" TargetMode="External"/><Relationship Id="rId212" Type="http://schemas.openxmlformats.org/officeDocument/2006/relationships/hyperlink" Target="https://buckeyeaz.granicus.com/services/minutes/reports/23859ad0-eafd-4e39-b582-796e20fdc9cb/attachment" TargetMode="External"/><Relationship Id="rId213" Type="http://schemas.openxmlformats.org/officeDocument/2006/relationships/hyperlink" Target="https://www.compute-atlas.com/facilities/tract-buckeye-tech-corridor-az" TargetMode="External"/><Relationship Id="rId214" Type="http://schemas.openxmlformats.org/officeDocument/2006/relationships/hyperlink" Target="https://www.connectcre.com/stories/25b-data-center-greenlit-near-buckeye/" TargetMode="External"/><Relationship Id="rId215" Type="http://schemas.openxmlformats.org/officeDocument/2006/relationships/hyperlink" Target="https://fortune.com/2025/12/27/ai-data-centers-arizona-hassayampa-ranch/" TargetMode="External"/><Relationship Id="rId216" Type="http://schemas.openxmlformats.org/officeDocument/2006/relationships/hyperlink" Target="https://www.orionprop.com/topfive/maricopa-county-approves-rezoning-for-proposed-25b-data-center-hub/" TargetMode="External"/><Relationship Id="rId217" Type="http://schemas.openxmlformats.org/officeDocument/2006/relationships/hyperlink" Target="https://berryriddell.com/25b-data-center-planned-west-of-phoenix-wins-key-approval-from-county/" TargetMode="External"/><Relationship Id="rId218" Type="http://schemas.openxmlformats.org/officeDocument/2006/relationships/hyperlink" Target="https://www.compute-atlas.com/facilities/arizona-land-consulting-hassayampa-ranch-tonopah-az" TargetMode="External"/><Relationship Id="rId219" Type="http://schemas.openxmlformats.org/officeDocument/2006/relationships/hyperlink" Target="https://www.datacenterdynamics.com/en/news/qts-files-for-750mw-campus-in-phoenix-arizona/" TargetMode="External"/><Relationship Id="rId220" Type="http://schemas.openxmlformats.org/officeDocument/2006/relationships/hyperlink" Target="https://q.com/data-centers/phoenix-3/" TargetMode="External"/><Relationship Id="rId221" Type="http://schemas.openxmlformats.org/officeDocument/2006/relationships/hyperlink" Target="https://azbex.com/planning-development/3msf-data-center-campus-planned-in-glendale/" TargetMode="External"/><Relationship Id="rId222" Type="http://schemas.openxmlformats.org/officeDocument/2006/relationships/hyperlink" Target="https://www.datacentermap.com/usa/arizona/phoenix/qts-glendale/" TargetMode="External"/><Relationship Id="rId223" Type="http://schemas.openxmlformats.org/officeDocument/2006/relationships/hyperlink" Target="https://www.datacentermap.com/usa/arizona/phoenix/" TargetMode="External"/><Relationship Id="rId224" Type="http://schemas.openxmlformats.org/officeDocument/2006/relationships/hyperlink" Target="https://pinalpost.com/florence-approves-data-centers-on-1619-acres-as-dobson-farms-becomes-major-tech-park/" TargetMode="External"/><Relationship Id="rId225" Type="http://schemas.openxmlformats.org/officeDocument/2006/relationships/hyperlink" Target="https://www.compute-atlas.com/facilities/edgecore-dobson-farms-east-florence-az" TargetMode="External"/><Relationship Id="rId226" Type="http://schemas.openxmlformats.org/officeDocument/2006/relationships/hyperlink" Target="https://www.datacenterdynamics.com/en/news/compass-datacenters-acquires-120-acres-in-el-mirage-arizona/" TargetMode="External"/><Relationship Id="rId227" Type="http://schemas.openxmlformats.org/officeDocument/2006/relationships/hyperlink" Target="https://www.datacentermap.com/usa/arizona/phoenix/compass-phx-ii-building-3/" TargetMode="External"/><Relationship Id="rId228" Type="http://schemas.openxmlformats.org/officeDocument/2006/relationships/hyperlink" Target="https://azbex.com/planning-development/new-data-center-proposed-in-el-mirage/" TargetMode="External"/><Relationship Id="rId229" Type="http://schemas.openxmlformats.org/officeDocument/2006/relationships/hyperlink" Target="https://azbex.com/planning-development/new-data-center-planned-in-south-phoenix/" TargetMode="External"/><Relationship Id="rId230" Type="http://schemas.openxmlformats.org/officeDocument/2006/relationships/hyperlink" Target="https://www.compute-atlas.com/facilities/phoenixnap-phx02-phoenix-az" TargetMode="External"/><Relationship Id="rId231" Type="http://schemas.openxmlformats.org/officeDocument/2006/relationships/hyperlink" Target="https://baxtel.com/data-center/vantage-glendale-az3" TargetMode="External"/><Relationship Id="rId232" Type="http://schemas.openxmlformats.org/officeDocument/2006/relationships/hyperlink" Target="https://news.datacenterview.com/p/january-8-2026-vantage-acquires-land-for-58-5m" TargetMode="External"/><Relationship Id="rId233" Type="http://schemas.openxmlformats.org/officeDocument/2006/relationships/hyperlink" Target="https://www.datacenterdynamics.com/en/news/prime-and-vantage-buy-land-phoenix-arizona/" TargetMode="External"/><Relationship Id="rId234" Type="http://schemas.openxmlformats.org/officeDocument/2006/relationships/hyperlink" Target="https://azbex.com/planning-development/tonopah-mixed-use-development-rezoning/" TargetMode="External"/><Relationship Id="rId235" Type="http://schemas.openxmlformats.org/officeDocument/2006/relationships/hyperlink" Target="https://www.compute-atlas.com/facilities/arizona-land-consulting-balterra-tonopah-az" TargetMode="External"/><Relationship Id="rId236" Type="http://schemas.openxmlformats.org/officeDocument/2006/relationships/hyperlink" Target="https://azbex.com/planning-development/maricopa-county-board-approves-rezoning-for-638-acre-data-center-solar-site/" TargetMode="External"/><Relationship Id="rId237" Type="http://schemas.openxmlformats.org/officeDocument/2006/relationships/hyperlink" Target="https://www.compute-atlas.com/facilities/grandilla-foot-creek-491st-thomas-tonopah-az" TargetMode="External"/><Relationship Id="rId238" Type="http://schemas.openxmlformats.org/officeDocument/2006/relationships/hyperlink" Target="https://www.fox10phoenix.com/news/new-data-centers-planned-glendale-spark-concerns-among-residents" TargetMode="External"/><Relationship Id="rId239" Type="http://schemas.openxmlformats.org/officeDocument/2006/relationships/hyperlink" Target="https://www.abc15.com/news/local-news/very-disappointed-maricopa-county-supervisors-approve-controversial-data-center" TargetMode="External"/><Relationship Id="rId240" Type="http://schemas.openxmlformats.org/officeDocument/2006/relationships/hyperlink" Target="https://www.projectbaccara.com/" TargetMode="External"/><Relationship Id="rId241" Type="http://schemas.openxmlformats.org/officeDocument/2006/relationships/hyperlink" Target="https://www.azcc.gov/news/home/2026/02/06/february-4--2026-open-meeting-highlights" TargetMode="External"/><Relationship Id="rId242" Type="http://schemas.openxmlformats.org/officeDocument/2006/relationships/hyperlink" Target="https://www.maricopa.gov/AgendaCenter/ViewFile/Item/10264?fileID=100345" TargetMode="External"/><Relationship Id="rId243" Type="http://schemas.openxmlformats.org/officeDocument/2006/relationships/hyperlink" Target="https://azbex.com/planning-development/2-data-center-projects-advancing-in-metro-phoenix/" TargetMode="External"/><Relationship Id="rId244" Type="http://schemas.openxmlformats.org/officeDocument/2006/relationships/hyperlink" Target="https://www.projectbaccara.com/_files/ugd/cbe98b_459cc246ea694c9f99e6fc4e9b79b975.pdf" TargetMode="External"/><Relationship Id="rId245" Type="http://schemas.openxmlformats.org/officeDocument/2006/relationships/hyperlink" Target="https://www.projectbaccara.com/_files/ugd/cbe98b_7cd257dc576944ffb5f945e9ade851bb.pdf" TargetMode="External"/><Relationship Id="rId246" Type="http://schemas.openxmlformats.org/officeDocument/2006/relationships/hyperlink" Target="https://www.azfamily.com/2026/05/07/massive-data-center-approved-near-luke-air-force-base-despite-opposition/" TargetMode="External"/><Relationship Id="rId247" Type="http://schemas.openxmlformats.org/officeDocument/2006/relationships/hyperlink" Target="https://www.abc15.com/news/local-news/very-disappointed-maricopa-county-supervisors-approve-controversial-data-center" TargetMode="External"/><Relationship Id="rId248" Type="http://schemas.openxmlformats.org/officeDocument/2006/relationships/hyperlink" Target="https://www.watereducation.org/aquafornia-news/controversial-surprise-data-center-clears-environmental-review" TargetMode="External"/><Relationship Id="rId249" Type="http://schemas.openxmlformats.org/officeDocument/2006/relationships/hyperlink" Target="https://www.compute-atlas.com/facilities/takanock-project-baccara-maricopa-county-az" TargetMode="External"/><Relationship Id="rId250" Type="http://schemas.openxmlformats.org/officeDocument/2006/relationships/hyperlink" Target="https://pinalpost.com/florence-approves-data-centers-on-1619-acres-as-dobson-farms-becomes-major-tech-park/" TargetMode="External"/><Relationship Id="rId251" Type="http://schemas.openxmlformats.org/officeDocument/2006/relationships/hyperlink" Target="https://www.compute-atlas.com/facilities/ryan-companies-florence-tech-park-az" TargetMode="External"/><Relationship Id="rId252" Type="http://schemas.openxmlformats.org/officeDocument/2006/relationships/hyperlink" Target="https://pinalpost.com/supervisors-approve-project-midway-data-center-near-casa-grande/" TargetMode="External"/><Relationship Id="rId253" Type="http://schemas.openxmlformats.org/officeDocument/2006/relationships/hyperlink" Target="https://pinalpost.com/data-center-hearing-project-midway-rezoning-set-for-july-16/" TargetMode="External"/><Relationship Id="rId254" Type="http://schemas.openxmlformats.org/officeDocument/2006/relationships/hyperlink" Target="https://www.compute-atlas.com/facilities/lpi-group-project-midway-casa-grande-az" TargetMode="External"/><Relationship Id="rId255" Type="http://schemas.openxmlformats.org/officeDocument/2006/relationships/hyperlink" Target="https://www.pinalcentral.com/maricopa_monitor/news/pinal-supervisors-approve-3-data-center-projects-with-some-concern/article_a6f448f1-f8b2-4eda-a1da-d70d9b921f8c.html" TargetMode="External"/><Relationship Id="rId256" Type="http://schemas.openxmlformats.org/officeDocument/2006/relationships/hyperlink" Target="https://inmaricopa.com/data-center-okd/" TargetMode="External"/><Relationship Id="rId257" Type="http://schemas.openxmlformats.org/officeDocument/2006/relationships/hyperlink" Target="https://pinalpost.com/commission-recommends-data-center-campus-despite-resident-tribal-pushback/" TargetMode="External"/><Relationship Id="rId258" Type="http://schemas.openxmlformats.org/officeDocument/2006/relationships/hyperlink" Target="https://www.compute-atlas.com/facilities/w-holdings-energy-generation-technology-campus-maricopa-az" TargetMode="External"/><Relationship Id="rId259" Type="http://schemas.openxmlformats.org/officeDocument/2006/relationships/hyperlink" Target="https://pinalpost.com/casa-grande-data-center-waiver-approved/" TargetMode="External"/><Relationship Id="rId260" Type="http://schemas.openxmlformats.org/officeDocument/2006/relationships/hyperlink" Target="https://www.azfamily.com/2026/01/09/two-southern-arizona-data-centers-move-forward-so-do-fights-over-power-water-growth/" TargetMode="External"/><Relationship Id="rId261" Type="http://schemas.openxmlformats.org/officeDocument/2006/relationships/hyperlink" Target="https://tucson.com/news/local/environment/article_52f0d4ba-aa9e-4c17-b290-ca3c2ad8d011.html" TargetMode="External"/><Relationship Id="rId262" Type="http://schemas.openxmlformats.org/officeDocument/2006/relationships/hyperlink" Target="https://news.azpm.org/s/102313-marana-planning-commission-backs-rezoning-for-600-acre-data-center-project/" TargetMode="External"/><Relationship Id="rId263" Type="http://schemas.openxmlformats.org/officeDocument/2006/relationships/hyperlink" Target="https://news.azpm.org/p/azpmnews/2026/2/10/228403-marana-residents-submit-petitions-to-put-data-center-project-to-a-vote/" TargetMode="External"/><Relationship Id="rId264" Type="http://schemas.openxmlformats.org/officeDocument/2006/relationships/hyperlink" Target="https://www.tucsonsentinel.com/local/report/021826_data_referendum_fails/marana-rejects-referendums-against-data-center-center-rezoning/" TargetMode="External"/><Relationship Id="rId265" Type="http://schemas.openxmlformats.org/officeDocument/2006/relationships/hyperlink" Target="https://www.kgun9.com/news/community-inspired-journalism/marana/data-center-moves-forward-marana-town-council-approves-land-rezoning" TargetMode="External"/><Relationship Id="rId266" Type="http://schemas.openxmlformats.org/officeDocument/2006/relationships/hyperlink" Target="https://news.azpm.org/p/news-articles/2026/1/8/227908-marana-town-council-approves-rezoning-for-luckett-road-project-600-acre-hyperscale-data-center/" TargetMode="External"/><Relationship Id="rId267" Type="http://schemas.openxmlformats.org/officeDocument/2006/relationships/hyperlink" Target="https://www.compute-atlas.com/facilities/fremont-peak-luckett-road-marana-az" TargetMode="External"/><Relationship Id="rId268" Type="http://schemas.openxmlformats.org/officeDocument/2006/relationships/hyperlink" Target="https://azbex.com/planning-development/12-5b-mohave-data-center-plan-could-face-new-hurdle/" TargetMode="External"/><Relationship Id="rId269" Type="http://schemas.openxmlformats.org/officeDocument/2006/relationships/hyperlink" Target="https://azbex.com/local-news/mohave-county-to-require-data-centers-to-provide-power-and-water/" TargetMode="External"/><Relationship Id="rId270" Type="http://schemas.openxmlformats.org/officeDocument/2006/relationships/hyperlink" Target="https://www.datacenterdynamics.com/en/news/data-center-proposed-for-500-acre-site-in-page-arizona/" TargetMode="External"/><Relationship Id="rId271" Type="http://schemas.openxmlformats.org/officeDocument/2006/relationships/hyperlink" Target="https://azbex.com/planning-development/page-rejects-petition-opposing-10b-data-center/" TargetMode="External"/><Relationship Id="rId272" Type="http://schemas.openxmlformats.org/officeDocument/2006/relationships/hyperlink" Target="https://www.datacenterdynamics.com/en/news/us-govt-assesses-interest-in-a-500mw-data-center-at-air-force-base-in-arizona/" TargetMode="External"/><Relationship Id="rId273" Type="http://schemas.openxmlformats.org/officeDocument/2006/relationships/hyperlink" Target="https://sam.gov/opp/5215c59dc17b44feb3fc309bfc7fb83f/view" TargetMode="External"/><Relationship Id="rId274" Type="http://schemas.openxmlformats.org/officeDocument/2006/relationships/hyperlink" Target="https://azbex.com/local-news/davis-monthan-air-force-base-eligible-for-private-data-center/" TargetMode="External"/><Relationship Id="rId275" Type="http://schemas.openxmlformats.org/officeDocument/2006/relationships/hyperlink" Target="https://www.dm.af.mil/Portals/99/Public%20Notice/AI%20Data%20Centers%20FAQ_FINAL.pdf?ver=eVffajYW9ZUZOaYphaOjfA%3D%3D" TargetMode="External"/><Relationship Id="rId276" Type="http://schemas.openxmlformats.org/officeDocument/2006/relationships/hyperlink" Target="https://www.datacentermap.com/usa/arizona/phoenix/" TargetMode="External"/><Relationship Id="rId277" Type="http://schemas.openxmlformats.org/officeDocument/2006/relationships/hyperlink" Target="https://azbex.com/planning-development/ryan-companies-2msf-industrial-plan-pivots-to-687m-data-center/" TargetMode="External"/><Relationship Id="rId278" Type="http://schemas.openxmlformats.org/officeDocument/2006/relationships/hyperlink" Target="https://www.compute-atlas.com/facilities/ryan-companies-southwest-crossing-data-park-eloy-az" TargetMode="External"/><Relationship Id="rId279" Type="http://schemas.openxmlformats.org/officeDocument/2006/relationships/hyperlink" Target="https://www.datacenterdynamics.com/en/news/ntt-acquires-173-acre-planned-data-center-park-in-mesa-arizona-for-300m/" TargetMode="External"/><Relationship Id="rId280" Type="http://schemas.openxmlformats.org/officeDocument/2006/relationships/hyperlink" Target="https://coppercourier.com/news/politics/mesa-residents-fight-data-center/" TargetMode="External"/><Relationship Id="rId281" Type="http://schemas.openxmlformats.org/officeDocument/2006/relationships/hyperlink" Target="https://www.themesatribune.com/news/big-data-center-in-se-mesa-passes-first-review/article_91081b9b-d2d1-47f6-91d2-b600115e4a55.html" TargetMode="External"/><Relationship Id="rId282" Type="http://schemas.openxmlformats.org/officeDocument/2006/relationships/hyperlink" Target="https://www.compute-atlas.com/facilities/ntt-global-mesa-az" TargetMode="External"/><Relationship Id="rId283" Type="http://schemas.openxmlformats.org/officeDocument/2006/relationships/hyperlink" Target="https://www.commercialsearch.com/news/cyrusone-acquires-70-acre-site-for-2nd-phoenix-facility/" TargetMode="External"/><Relationship Id="rId284" Type="http://schemas.openxmlformats.org/officeDocument/2006/relationships/hyperlink" Target="https://baxtel.com/data-center/cyrusone-mesa" TargetMode="External"/><Relationship Id="rId285" Type="http://schemas.openxmlformats.org/officeDocument/2006/relationships/hyperlink" Target="https://www.compute-atlas.com/facilities/cyrusone-mesa-elliot-ellsworth-az" TargetMode="External"/><Relationship Id="rId286" Type="http://schemas.openxmlformats.org/officeDocument/2006/relationships/hyperlink" Target="https://www.datacenterdynamics.com/en/news/aws-plots-four-data-centers-in-mesa-arizona/" TargetMode="External"/><Relationship Id="rId287" Type="http://schemas.openxmlformats.org/officeDocument/2006/relationships/hyperlink" Target="https://www.aztechcouncil.org/amazon-submits-plans-for-multiple-data-centers-in-mesa/" TargetMode="External"/><Relationship Id="rId288" Type="http://schemas.openxmlformats.org/officeDocument/2006/relationships/hyperlink" Target="https://arizonaai.com/data-centers" TargetMode="External"/><Relationship Id="rId289" Type="http://schemas.openxmlformats.org/officeDocument/2006/relationships/hyperlink" Target="https://www.datacenterdynamics.com/en/news/amazon-acquires-220-acres-in-phoenix-arizona-for-possible-data-center/" TargetMode="External"/><Relationship Id="rId290" Type="http://schemas.openxmlformats.org/officeDocument/2006/relationships/hyperlink" Target="https://www.aztechcouncil.org/amazon-buys-massive-valley-site-for-potential-data-center/" TargetMode="External"/><Relationship Id="rId291" Type="http://schemas.openxmlformats.org/officeDocument/2006/relationships/hyperlink" Target="https://www.compute-atlas.com/facilities/aws-laveen-az" TargetMode="External"/><Relationship Id="rId292" Type="http://schemas.openxmlformats.org/officeDocument/2006/relationships/hyperlink" Target="https://azbex.com/local-news/peoria-data-center-restrictions/" TargetMode="External"/><Relationship Id="rId293" Type="http://schemas.openxmlformats.org/officeDocument/2006/relationships/hyperlink" Target="https://www.abc15.com/news/business/aligned-data-centers-moves-ahead-with-two-building-campus-in-peoria" TargetMode="External"/><Relationship Id="rId294" Type="http://schemas.openxmlformats.org/officeDocument/2006/relationships/hyperlink" Target="https://www.compute-atlas.com/facilities/aligned-peoria-campus-az" TargetMode="External"/><Relationship Id="rId295" Type="http://schemas.openxmlformats.org/officeDocument/2006/relationships/hyperlink" Target="https://azbex.com/planning-development/320-acre-warehouse-data-center-master-plan-proposed-in-far-west-valley/" TargetMode="External"/><Relationship Id="rId296" Type="http://schemas.openxmlformats.org/officeDocument/2006/relationships/hyperlink" Target="https://www.compute-atlas.com/facilities/arizona-land-consulting-camelback-creek-tonopah-az" TargetMode="External"/><Relationship Id="rId297" Type="http://schemas.openxmlformats.org/officeDocument/2006/relationships/hyperlink" Target="https://www.datacentermap.com/usa/arizona/phoenix/" TargetMode="External"/><Relationship Id="rId298" Type="http://schemas.openxmlformats.org/officeDocument/2006/relationships/hyperlink" Target="https://www.maricopa.gov/AgendaCenter/ViewFile/Item/10316?fileID=100604" TargetMode="External"/><Relationship Id="rId299" Type="http://schemas.openxmlformats.org/officeDocument/2006/relationships/hyperlink" Target="https://www.compute-atlas.com/facilities/wintersburg-313-tonopah-az" TargetMode="External"/><Relationship Id="rId300" Type="http://schemas.openxmlformats.org/officeDocument/2006/relationships/hyperlink" Target="https://azbex.com/planning-development/zoning-change-could-bring-data-centers-to-belmont-mixed-use-area/" TargetMode="External"/><Relationship Id="rId301" Type="http://schemas.openxmlformats.org/officeDocument/2006/relationships/hyperlink" Target="https://www.kjzz.org/politics/2026-03-04/this-buckeye-land-was-once-planned-as-a-hydrogen-gas-plant-now-it-could-be-a-data-center" TargetMode="External"/><Relationship Id="rId302" Type="http://schemas.openxmlformats.org/officeDocument/2006/relationships/hyperlink" Target="https://azbex.com/local-news/fortescue-seeks-hydrogen-site-changes-to-allow-for-possible-data-center/" TargetMode="External"/><Relationship Id="rId303" Type="http://schemas.openxmlformats.org/officeDocument/2006/relationships/hyperlink" Target="https://citizenportal.ai/articles/7995557/Arizona/Maricopa-County/Buckeye/Buckeye-council-approves-zoning-amendment-that-could-allow-broader-industrial-uses-including-a-potential-data-center" TargetMode="External"/><Relationship Id="rId304" Type="http://schemas.openxmlformats.org/officeDocument/2006/relationships/hyperlink" Target="https://www.datacentermap.com/usa/arizona/phoenix/fortescue-buckeye/" TargetMode="External"/><Relationship Id="rId305" Type="http://schemas.openxmlformats.org/officeDocument/2006/relationships/hyperlink" Target="https://azbex.com/planning-development/1500-acre-business-and-technology-campus-planned-in-pinal-county/" TargetMode="External"/><Relationship Id="rId306" Type="http://schemas.openxmlformats.org/officeDocument/2006/relationships/hyperlink" Target="https://pinalpost.com/data-center-south-of-maricopa-tech-campus-2026-september-worksession/" TargetMode="External"/><Relationship Id="rId307" Type="http://schemas.openxmlformats.org/officeDocument/2006/relationships/hyperlink" Target="https://www.compute-atlas.com/facilities/zinke-arizona-independent-technology-campus-pinal-az" TargetMode="External"/><Relationship Id="rId308" Type="http://schemas.openxmlformats.org/officeDocument/2006/relationships/hyperlink" Target="https://baxtel.com/data-center/arizona-land-casa-grande" TargetMode="External"/><Relationship Id="rId309" Type="http://schemas.openxmlformats.org/officeDocument/2006/relationships/hyperlink" Target="https://tucson.com/news/local/government-politics/article_88b66e8c-6502-49de-832e-7cba5f958a77.html" TargetMode="External"/><Relationship Id="rId310" Type="http://schemas.openxmlformats.org/officeDocument/2006/relationships/hyperlink" Target="https://www.compute-atlas.com/facilities/sahuarita-holdings-project-gravel-pima-county-az" TargetMode="External"/><Relationship Id="rId311" Type="http://schemas.openxmlformats.org/officeDocument/2006/relationships/hyperlink" Target="https://therealdeal.com/national/phoenix/2024/05/02/tract-drops-14b-plan-to-build-data-centers-outside-phoenix/" TargetMode="External"/><Relationship Id="rId312" Type="http://schemas.openxmlformats.org/officeDocument/2006/relationships/hyperlink" Target="https://www.datacentermap.com/usa/arizona/phoenix/project-range/" TargetMode="External"/><Relationship Id="rId313" Type="http://schemas.openxmlformats.org/officeDocument/2006/relationships/hyperlink" Target="https://azbex.com/planning-development/massive-data-center-master-plan-proposed-in-west-valley/" TargetMode="External"/><Relationship Id="rId314" Type="http://schemas.openxmlformats.org/officeDocument/2006/relationships/hyperlink" Target="https://www.compute-atlas.com/facilities/tract-project-range-buckeye-goodyear-az" TargetMode="External"/><Relationship Id="rId315" Type="http://schemas.openxmlformats.org/officeDocument/2006/relationships/hyperlink" Target="https://www.datacenterdynamics.com/en/news/vintage-partners-scraps-phoenix-arizona-data-center-plans/" TargetMode="External"/><Relationship Id="rId316" Type="http://schemas.openxmlformats.org/officeDocument/2006/relationships/hyperlink" Target="https://azbex.com/planning-development/data-center-changes-result-in-plan-change-to-mixed-use/" TargetMode="External"/><Relationship Id="rId317" Type="http://schemas.openxmlformats.org/officeDocument/2006/relationships/hyperlink" Target="https://azbex.com/planning-development/data-center-plan-sparks-chandler-opposition/" TargetMode="External"/><Relationship Id="rId318" Type="http://schemas.openxmlformats.org/officeDocument/2006/relationships/hyperlink" Target="https://www.axios.com/local/phoenix/2025/12/16/chandler-rejects-sinema-ai-data-center" TargetMode="External"/><Relationship Id="rId319" Type="http://schemas.openxmlformats.org/officeDocument/2006/relationships/hyperlink" Target="https://news.datacenterview.com/p/december-16-2025-active-infrastructure-rejected-in-chandler" TargetMode="External"/><Relationship Id="rId320" Type="http://schemas.openxmlformats.org/officeDocument/2006/relationships/hyperlink" Target="https://www.kjzz.org/politics/2026-08-26/pinal-county-rejects-massive-la-osa-data-center-residents-want-more-rules-for-future-projects" TargetMode="External"/><Relationship Id="rId321" Type="http://schemas.openxmlformats.org/officeDocument/2006/relationships/hyperlink" Target="https://azbex.com/planning-development/pinal-pz-recommends-data-center-energy-master-plan-rezone/" TargetMode="External"/><Relationship Id="rId322" Type="http://schemas.openxmlformats.org/officeDocument/2006/relationships/hyperlink" Target="https://www.datacenterdynamics.com/en/news/land-developer-vermaland-plans-33bn-data-center-in-arizona/" TargetMode="External"/><Relationship Id="rId323" Type="http://schemas.openxmlformats.org/officeDocument/2006/relationships/hyperlink" Target="https://azbigmedia.com/business/33-billion-data-center-industrial-park-coming-to-pinal-county/" TargetMode="External"/><Relationship Id="rId324" Type="http://schemas.openxmlformats.org/officeDocument/2006/relationships/hyperlink" Target="https://www.kjzz.org/fronteras-desk/2026-05-28/largest-proposed-data-center-in-arizona-to-be-scaled-back-80-after-opposition" TargetMode="External"/><Relationship Id="rId325" Type="http://schemas.openxmlformats.org/officeDocument/2006/relationships/hyperlink" Target="https://hoodline.com/2026/04/pinal-county-panel-backs-massive-la-osa-data-center-in-eloy-desert/" TargetMode="External"/><Relationship Id="rId326" Type="http://schemas.openxmlformats.org/officeDocument/2006/relationships/hyperlink" Target="https://www.commercialsearch.com/news/33b-data-center-park-eyed-in-arizona/" TargetMode="External"/><Relationship Id="rId327" Type="http://schemas.openxmlformats.org/officeDocument/2006/relationships/hyperlink" Target="https://www.kjzz.org/politics/2026-08-26/pinal-county-rejects-massive-la-osa-data-center-residents-want-more-rules-for-future-projects" TargetMode="External"/><Relationship Id="rId328" Type="http://schemas.openxmlformats.org/officeDocument/2006/relationships/hyperlink" Target="https://www.sonorandesert.org/2026/08/26/data-centers-update/" TargetMode="External"/><Relationship Id="rId329" Type="http://schemas.openxmlformats.org/officeDocument/2006/relationships/hyperlink" Target="https://www.compute-atlas.com/facilities/vermaland-la-osa-eloy-az" TargetMode="External"/><Relationship Id="rId330" Type="http://schemas.openxmlformats.org/officeDocument/2006/relationships/hyperlink" Target="https://www.datacenterdynamics.com/en/news/3bn-solar-data-center-proposed-arizona/" TargetMode="External"/><Relationship Id="rId331" Type="http://schemas.openxmlformats.org/officeDocument/2006/relationships/hyperlink" Target="https://www.kdminer.com/3b-hive-data-farm-in-golden-valley-could-become-a-simple-solar-field/article_ef354c84-5515-51c5-a489-95b3387b3abb.html" TargetMode="Externa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https://www.srpnet.com/about/data-center-facts" TargetMode="External"/><Relationship Id="rId2" Type="http://schemas.openxmlformats.org/officeDocument/2006/relationships/hyperlink" Target="https://www.srpnet.com/assets/srpnet/pdf/price-plans/2024/Proposed%20Adjustments%20to%20SRP&apos;s%20Standard%20Price%20Plans%20Effective%20with%20the%20November%202025%20Billing%20Cycle_Web%5B91%5D.pdf" TargetMode="External"/><Relationship Id="rId3" Type="http://schemas.openxmlformats.org/officeDocument/2006/relationships/hyperlink" Target="https://azcapitoltimes.com/news/2026/03/31/the-facts-about-srp-and-data-centers/" TargetMode="External"/><Relationship Id="rId4" Type="http://schemas.openxmlformats.org/officeDocument/2006/relationships/hyperlink" Target="https://www.aps.com/en/Utility/Company-wide-Events-and-Messages/Data_Centers_How_Were_Protecting_Customers_While_Planning-for_Big_Energy_Needs" TargetMode="External"/><Relationship Id="rId5" Type="http://schemas.openxmlformats.org/officeDocument/2006/relationships/hyperlink" Target="https://www.aps.com/en/Utility/Regulatory-and-Legal/Rate-case" TargetMode="External"/><Relationship Id="rId6" Type="http://schemas.openxmlformats.org/officeDocument/2006/relationships/hyperlink" Target="https://www.kjzz.org/business/2026-07-29/data-centers-drive-half-of-aps-peak-demand-growth-this-year-compared-to-2025" TargetMode="External"/><Relationship Id="rId7" Type="http://schemas.openxmlformats.org/officeDocument/2006/relationships/hyperlink" Target="https://www.azcc.gov/news/home/2026/01/21/acc-statement-on-applications-for-rehearing-re--tep-energy-supply-agreement" TargetMode="External"/><Relationship Id="rId8" Type="http://schemas.openxmlformats.org/officeDocument/2006/relationships/hyperlink" Target="https://www.azcc.gov/news/home/2026/04/20/acc-large-load-data-center-workshop-highlights" TargetMode="External"/><Relationship Id="rId9" Type="http://schemas.openxmlformats.org/officeDocument/2006/relationships/hyperlink" Target="https://www.eia.gov/electricity/monthly/epm_table_grapher.php?t=epmt_5_6_b" TargetMode="External"/><Relationship Id="rId10" Type="http://schemas.openxmlformats.org/officeDocument/2006/relationships/hyperlink" Target="https://www.eia.gov/opendata/browser/electricity/retail-sales" TargetMode="External"/><Relationship Id="rId11" Type="http://schemas.openxmlformats.org/officeDocument/2006/relationships/hyperlink" Target="https://www.eia.gov/electricity/gridmonitor/" TargetMode="External"/><Relationship Id="rId12" Type="http://schemas.openxmlformats.org/officeDocument/2006/relationships/hyperlink" Target="https://www.eia.gov/electricity/data/eia860m/" TargetMode="External"/><Relationship Id="rId13" Type="http://schemas.openxmlformats.org/officeDocument/2006/relationships/hyperlink" Target="http://oasis.caiso.com/" TargetMode="External"/><Relationship Id="rId14" Type="http://schemas.openxmlformats.org/officeDocument/2006/relationships/hyperlink" Target="https://services1.arcgis.com/Hp6G80Pky0om7QvQ/arcgis/rest/services/Electric_Power_Transmission_Lines/FeatureServer/0" TargetMode="External"/><Relationship Id="rId15" Type="http://schemas.openxmlformats.org/officeDocument/2006/relationships/hyperlink" Target="https://restservice.epri.com/publicdownload/000000003002028905/0/Product" TargetMode="External"/><Relationship Id="rId16" Type="http://schemas.openxmlformats.org/officeDocument/2006/relationships/hyperlink" Target="https://restservice.epri.com/publicattachment/96784" TargetMode="External"/><Relationship Id="rId17" Type="http://schemas.openxmlformats.org/officeDocument/2006/relationships/hyperlink" Target="https://eta-publications.lbl.gov/sites/default/files/2024-12/lbnl-2024-united-states-data-center-energy-usage-report_1.pdf" TargetMode="External"/><Relationship Id="rId18" Type="http://schemas.openxmlformats.org/officeDocument/2006/relationships/hyperlink" Target="https://eta-publications.lbl.gov/sites/default/files/2025-10/presentation_retail_price_trends_drivers.pdf" TargetMode="External"/><Relationship Id="rId19" Type="http://schemas.openxmlformats.org/officeDocument/2006/relationships/hyperlink" Target="https://www.sciencebase.gov/catalog/item/5af3311be4b0da30c1b245d8" TargetMode="External"/><Relationship Id="rId20" Type="http://schemas.openxmlformats.org/officeDocument/2006/relationships/hyperlink" Target="https://arizonawaterfacts.com/water-your-facts" TargetMode="External"/><Relationship Id="rId21" Type="http://schemas.openxmlformats.org/officeDocument/2006/relationships/hyperlink" Target="https://www.circleofblue.org/2025/supply/data-centers-a-small-but-growing-factor-in-arizonas-water-budget/" TargetMode="External"/><Relationship Id="rId22" Type="http://schemas.openxmlformats.org/officeDocument/2006/relationships/hyperlink" Target="https://morrisoninstitute.asu.edu/sites/g/files/litvpz841/files/2025-09/Large-Volume%20Water%20User%20Ordinances%20090525_revised2.pdf" TargetMode="External"/><Relationship Id="rId23" Type="http://schemas.openxmlformats.org/officeDocument/2006/relationships/hyperlink" Target="https://www.usbr.gov/ColoradoRiverBasin/post2026/" TargetMode="External"/><Relationship Id="rId24" Type="http://schemas.openxmlformats.org/officeDocument/2006/relationships/hyperlink" Target="https://fred.stlouisfed.org/series/AZAGRNGSP" TargetMode="External"/><Relationship Id="rId25" Type="http://schemas.openxmlformats.org/officeDocument/2006/relationships/hyperlink" Target="https://static1.squarespace.com/static/63a4849eab1c756a1d3e97b1/t/6a04986aac382850dcd9d637/1778686058456/Data+Center+Economic+Contribution+Study+2026_Final.pdf" TargetMode="External"/><Relationship Id="rId26" Type="http://schemas.openxmlformats.org/officeDocument/2006/relationships/hyperlink" Target="https://static1.squarespace.com/static/63a4849eab1c756a1d3e97b1/t/663044d8d160b943d48f30bf/1714439385121/The+Impact+of+Data+Centers+on+the+Arizona+Economy.pdf" TargetMode="External"/><Relationship Id="rId27" Type="http://schemas.openxmlformats.org/officeDocument/2006/relationships/hyperlink" Target="https://azdor.gov/sites/default/files/document/REPORTS_EXPENDITURES_2025_fy25-preliminary-tax-expenditure-report.pdf" TargetMode="External"/><Relationship Id="rId28" Type="http://schemas.openxmlformats.org/officeDocument/2006/relationships/hyperlink" Target="https://azdor.gov/sites/default/files/document/TPT_RATETABLE_01012026.pdf" TargetMode="External"/><Relationship Id="rId29" Type="http://schemas.openxmlformats.org/officeDocument/2006/relationships/hyperlink" Target="https://azdor.gov/transaction-privilege-tax/contracting-guidelines/contracting-faqs" TargetMode="External"/><Relationship Id="rId30" Type="http://schemas.openxmlformats.org/officeDocument/2006/relationships/hyperlink" Target="https://www.maricopa.gov/DocumentCenter/View/123385/Tax-Rate-2026-PDF" TargetMode="External"/><Relationship Id="rId31" Type="http://schemas.openxmlformats.org/officeDocument/2006/relationships/hyperlink" Target="https://www.azjlbc.gov/revenues/25taxbk.pdf" TargetMode="External"/><Relationship Id="rId32" Type="http://schemas.openxmlformats.org/officeDocument/2006/relationships/hyperlink" Target="https://www.azleg.gov/ars/42/05029.htm" TargetMode="External"/><Relationship Id="rId33" Type="http://schemas.openxmlformats.org/officeDocument/2006/relationships/hyperlink" Target="https://www.azleg.gov/ars/41/01519.htm" TargetMode="External"/><Relationship Id="rId34" Type="http://schemas.openxmlformats.org/officeDocument/2006/relationships/hyperlink" Target="https://www.azleg.gov/ars/42/15001.htm" TargetMode="External"/><Relationship Id="rId35" Type="http://schemas.openxmlformats.org/officeDocument/2006/relationships/hyperlink" Target="https://www.azleg.gov/legtext/55leg/2R/summary/S.2822COM.DOCX.htm" TargetMode="External"/><Relationship Id="rId36" Type="http://schemas.openxmlformats.org/officeDocument/2006/relationships/hyperlink" Target="https://apps.azleg.gov/BillStatus/BillOverview/85758" TargetMode="External"/><Relationship Id="rId37" Type="http://schemas.openxmlformats.org/officeDocument/2006/relationships/hyperlink" Target="https://apps.azleg.gov/BillStatus/BillOverview/84576" TargetMode="External"/><Relationship Id="rId38" Type="http://schemas.openxmlformats.org/officeDocument/2006/relationships/hyperlink" Target="https://grandcanyoninstitute.org/research/budget/running-on-empty-federal-tax-package-conformity-leaves-1-billion-state-budget-deficit/" TargetMode="External"/><Relationship Id="rId39" Type="http://schemas.openxmlformats.org/officeDocument/2006/relationships/hyperlink" Target="https://azgovernor.gov/office-arizona-governor/news/2026/01/governor-katie-hobbs-lays-out-plan-lower-costs-and-put-arizona" TargetMode="External"/><Relationship Id="rId40" Type="http://schemas.openxmlformats.org/officeDocument/2006/relationships/hyperlink" Target="https://data.bls.gov/cew/data/api/2025/a/industry/518210.csv" TargetMode="External"/><Relationship Id="rId41" Type="http://schemas.openxmlformats.org/officeDocument/2006/relationships/hyperlink" Target="https://data.bls.gov/cew/data/api/2025/a/industry/23.csv" TargetMode="External"/><Relationship Id="rId42" Type="http://schemas.openxmlformats.org/officeDocument/2006/relationships/hyperlink" Target="https://www.jll.com/en-us/insights/market-outlook/data-center-outlook" TargetMode="External"/><Relationship Id="rId43" Type="http://schemas.openxmlformats.org/officeDocument/2006/relationships/hyperlink" Target="https://ir.cushmanwakefield.com/news/press-release-details/2026/Cushman--Wakefield-Releases-2026-Data-Center-Development-Cost-Guide-Citing-21-Rise-in-Per-MW-Construction-Costs/default.aspx" TargetMode="External"/><Relationship Id="rId44" Type="http://schemas.openxmlformats.org/officeDocument/2006/relationships/hyperlink" Target="https://www.tucsonaz.gov/files/sharedassets/public/v/1/government/city-manager-office/documents/project-blue-updated-fact-sheet_250714.pdf" TargetMode="External"/><Relationship Id="rId45" Type="http://schemas.openxmlformats.org/officeDocument/2006/relationships/hyperlink" Target="https://content.civicplus.com/api/assets/2192e865-fe7e-48f4-8a0c-7c1c8b5cd32c" TargetMode="External"/><Relationship Id="rId46" Type="http://schemas.openxmlformats.org/officeDocument/2006/relationships/hyperlink" Target="https://www.datacenterdynamics.com/en/news/mesa-council-approves-1bn-google-arizona-data-center-16m-tax-breaks/" TargetMode="External"/><Relationship Id="rId47" Type="http://schemas.openxmlformats.org/officeDocument/2006/relationships/hyperlink" Target="https://www.census.gov/data/tables/time-series/demo/popest/2020s-state-total.html" TargetMode="External"/><Relationship Id="rId48" Type="http://schemas.openxmlformats.org/officeDocument/2006/relationships/hyperlink" Target="https://www.census.gov/quickfacts/fact/table/AZ/HSD410224" TargetMode="External"/><Relationship Id="rId49" Type="http://schemas.openxmlformats.org/officeDocument/2006/relationships/hyperlink" Target="https://www2.census.gov/geo/tiger/TIGER2024/SLDU/" TargetMode="External"/><Relationship Id="rId50" Type="http://schemas.openxmlformats.org/officeDocument/2006/relationships/hyperlink" Target="https://www.azleg.gov/memberroster/" TargetMode="External"/><Relationship Id="rId51" Type="http://schemas.openxmlformats.org/officeDocument/2006/relationships/hyperlink" Target="https://www.azauditor.gov/arizona-school-district-spending-analysis-and-data-file-fiscal-year-2025" TargetMode="External"/><Relationship Id="rId52" Type="http://schemas.openxmlformats.org/officeDocument/2006/relationships/hyperlink" Target="https://www2.census.gov/programs-surveys/school-finances/tables/2024/secondary-education-finance/elsec24_sumtables.xlsx" TargetMode="External"/><Relationship Id="rId53" Type="http://schemas.openxmlformats.org/officeDocument/2006/relationships/hyperlink" Target="https://www.onetonline.org/link/localwages/33-2011.00?st=AZ" TargetMode="External"/><Relationship Id="rId54" Type="http://schemas.openxmlformats.org/officeDocument/2006/relationships/hyperlink" Target="https://www.psprs.com/employers-local-boards/contribution-rates-reporting/pension-plans/" TargetMode="External"/><Relationship Id="rId55" Type="http://schemas.openxmlformats.org/officeDocument/2006/relationships/hyperlink" Target="https://www.kff.org/health-costs/2025-employer-health-benefits-survey/" TargetMode="External"/><Relationship Id="rId56" Type="http://schemas.openxmlformats.org/officeDocument/2006/relationships/hyperlink" Target="https://www.bls.gov/news.release/union2.t05.htm" TargetMode="External"/><Relationship Id="rId57" Type="http://schemas.openxmlformats.org/officeDocument/2006/relationships/hyperlink" Target="https://www.unionstats.com/state/states_index.html" TargetMode="External"/><Relationship Id="rId58" Type="http://schemas.openxmlformats.org/officeDocument/2006/relationships/hyperlink" Target="https://www.smart-union.org/local-359-helps-secure-landmark-project-labor-agreement-jobs-for-members-in-arizona/" TargetMode="External"/><Relationship Id="rId59" Type="http://schemas.openxmlformats.org/officeDocument/2006/relationships/hyperlink" Target="https://www.azleg.gov/ars/34/00321.htm" TargetMode="External"/><Relationship Id="rId60" Type="http://schemas.openxmlformats.org/officeDocument/2006/relationships/hyperlink" Target="https://cleanview.co/data-centers/arizona" TargetMode="External"/><Relationship Id="rId61" Type="http://schemas.openxmlformats.org/officeDocument/2006/relationships/hyperlink" Target="https://www.compute-atlas.com/states/arizona" TargetMode="External"/><Relationship Id="rId62" Type="http://schemas.openxmlformats.org/officeDocument/2006/relationships/hyperlink" Target="https://www.aztechcouncil.org/microsoft-agrees-to-make-data-centers-air-cooled-amid-water-infrastructure-challenges-in-goodyear/" TargetMode="External"/><Relationship Id="rId63" Type="http://schemas.openxmlformats.org/officeDocument/2006/relationships/hyperlink" Target="https://storage.googleapis.com/gweb-mobius-cdn/sustainability/uploads/699ac99c610bc554baaf80aef2d69cf0c5410c1a.pdf" TargetMode="External"/><Relationship Id="rId64" Type="http://schemas.openxmlformats.org/officeDocument/2006/relationships/hyperlink" Target="https://www.datacenterdynamics.com/en/news/google-signs-480mw-ppa-in-arizona/" TargetMode="External"/><Relationship Id="rId65" Type="http://schemas.openxmlformats.org/officeDocument/2006/relationships/hyperlink" Target="https://pinalpost.com/la-osa-data-center-where-does-the-100-million-actually-go/" TargetMode="External"/><Relationship Id="rId66" Type="http://schemas.openxmlformats.org/officeDocument/2006/relationships/hyperlink" Target="https://www.axios.com/local/phoenix/2026/07/08/data-center-tax-break-applications-double-moratorium" TargetMode="External"/><Relationship Id="rId67" Type="http://schemas.openxmlformats.org/officeDocument/2006/relationships/hyperlink" Target="https://www.kjzz.org/politics/2026-08-26/pinal-county-rejects-massive-la-osa-data-center-residents-want-more-rules-for-future-projects" TargetMode="External"/><Relationship Id="rId68" Type="http://schemas.openxmlformats.org/officeDocument/2006/relationships/hyperlink" Target="https://taxfoundation.org/data/all/state/2026-sales-tax-rates-midyear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/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/>
    </row>
    <row r="14" customFormat="false" ht="1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2" t="s">
        <v>11</v>
      </c>
    </row>
    <row r="16" customFormat="false" ht="15" hidden="false" customHeight="false" outlineLevel="0" collapsed="false">
      <c r="A16" s="2" t="s">
        <v>12</v>
      </c>
    </row>
    <row r="17" customFormat="false" ht="15" hidden="false" customHeight="false" outlineLevel="0" collapsed="false">
      <c r="A17" s="2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6"/>
    <col collapsed="false" customWidth="true" hidden="false" outlineLevel="0" max="4" min="3" style="0" width="14"/>
    <col collapsed="false" customWidth="true" hidden="false" outlineLevel="0" max="5" min="5" style="0" width="16"/>
    <col collapsed="false" customWidth="true" hidden="false" outlineLevel="0" max="6" min="6" style="0" width="100"/>
  </cols>
  <sheetData>
    <row r="1" customFormat="false" ht="42" hidden="false" customHeight="true" outlineLevel="0" collapsed="false">
      <c r="A1" s="4" t="s">
        <v>14</v>
      </c>
      <c r="B1" s="4" t="s">
        <v>15</v>
      </c>
      <c r="C1" s="4" t="s">
        <v>16</v>
      </c>
      <c r="D1" s="4" t="s">
        <v>17</v>
      </c>
      <c r="E1" s="4" t="s">
        <v>18</v>
      </c>
      <c r="F1" s="4" t="s">
        <v>19</v>
      </c>
    </row>
    <row r="2" customFormat="false" ht="15" hidden="false" customHeight="false" outlineLevel="0" collapsed="false">
      <c r="A2" s="2" t="s">
        <v>20</v>
      </c>
      <c r="B2" s="5" t="n">
        <v>11300000</v>
      </c>
      <c r="C2" s="5" t="n">
        <v>10700000</v>
      </c>
      <c r="D2" s="5" t="n">
        <v>17600000</v>
      </c>
      <c r="E2" s="2" t="s">
        <v>21</v>
      </c>
      <c r="F2" s="2" t="s">
        <v>22</v>
      </c>
    </row>
    <row r="3" customFormat="false" ht="15" hidden="false" customHeight="false" outlineLevel="0" collapsed="false">
      <c r="A3" s="2" t="s">
        <v>23</v>
      </c>
      <c r="B3" s="5" t="n">
        <v>8400000</v>
      </c>
      <c r="C3" s="5" t="n">
        <v>8400000</v>
      </c>
      <c r="D3" s="5" t="n">
        <v>25000000</v>
      </c>
      <c r="E3" s="2" t="s">
        <v>21</v>
      </c>
      <c r="F3" s="2" t="s">
        <v>24</v>
      </c>
    </row>
    <row r="4" customFormat="false" ht="15" hidden="false" customHeight="false" outlineLevel="0" collapsed="false">
      <c r="A4" s="2" t="s">
        <v>25</v>
      </c>
      <c r="B4" s="6" t="n">
        <v>2.5</v>
      </c>
      <c r="C4" s="6" t="n">
        <v>1.5</v>
      </c>
      <c r="D4" s="6" t="n">
        <v>4</v>
      </c>
      <c r="E4" s="2" t="s">
        <v>26</v>
      </c>
      <c r="F4" s="2" t="s">
        <v>27</v>
      </c>
    </row>
    <row r="5" customFormat="false" ht="15" hidden="false" customHeight="false" outlineLevel="0" collapsed="false">
      <c r="A5" s="2" t="s">
        <v>28</v>
      </c>
      <c r="B5" s="6" t="n">
        <v>0.73</v>
      </c>
      <c r="C5" s="6" t="n">
        <v>0.5</v>
      </c>
      <c r="D5" s="6" t="n">
        <v>1</v>
      </c>
      <c r="E5" s="2" t="s">
        <v>29</v>
      </c>
      <c r="F5" s="2" t="s">
        <v>30</v>
      </c>
    </row>
    <row r="6" customFormat="false" ht="15" hidden="false" customHeight="false" outlineLevel="0" collapsed="false">
      <c r="A6" s="2" t="s">
        <v>31</v>
      </c>
      <c r="B6" s="7" t="n">
        <v>0.6</v>
      </c>
      <c r="C6" s="6" t="n">
        <v>0.3</v>
      </c>
      <c r="D6" s="6" t="n">
        <v>1.2</v>
      </c>
      <c r="E6" s="2" t="s">
        <v>32</v>
      </c>
      <c r="F6" s="2" t="s">
        <v>33</v>
      </c>
    </row>
    <row r="7" customFormat="false" ht="15" hidden="false" customHeight="false" outlineLevel="0" collapsed="false">
      <c r="A7" s="2" t="s">
        <v>34</v>
      </c>
      <c r="B7" s="7" t="n">
        <v>2</v>
      </c>
      <c r="C7" s="6" t="n">
        <v>1</v>
      </c>
      <c r="D7" s="6" t="n">
        <v>4</v>
      </c>
      <c r="E7" s="2" t="s">
        <v>32</v>
      </c>
      <c r="F7" s="2" t="s">
        <v>35</v>
      </c>
    </row>
    <row r="8" customFormat="false" ht="15" hidden="false" customHeight="false" outlineLevel="0" collapsed="false">
      <c r="A8" s="2" t="s">
        <v>36</v>
      </c>
      <c r="B8" s="6" t="n">
        <v>1.89</v>
      </c>
      <c r="C8" s="6" t="n">
        <v>1</v>
      </c>
      <c r="D8" s="6" t="n">
        <v>4</v>
      </c>
      <c r="E8" s="2" t="s">
        <v>29</v>
      </c>
      <c r="F8" s="2" t="s">
        <v>37</v>
      </c>
    </row>
    <row r="9" customFormat="false" ht="15" hidden="false" customHeight="false" outlineLevel="0" collapsed="false">
      <c r="A9" s="2" t="s">
        <v>38</v>
      </c>
      <c r="B9" s="5" t="n">
        <v>100000</v>
      </c>
      <c r="C9" s="5" t="n">
        <v>64000</v>
      </c>
      <c r="D9" s="5" t="n">
        <v>149458</v>
      </c>
      <c r="E9" s="2" t="s">
        <v>39</v>
      </c>
      <c r="F9" s="2" t="s">
        <v>40</v>
      </c>
    </row>
    <row r="10" customFormat="false" ht="15" hidden="false" customHeight="false" outlineLevel="0" collapsed="false">
      <c r="A10" s="2" t="s">
        <v>41</v>
      </c>
      <c r="B10" s="8" t="n">
        <v>0.35</v>
      </c>
      <c r="C10" s="9" t="n">
        <v>0.25</v>
      </c>
      <c r="D10" s="9" t="n">
        <v>0.5</v>
      </c>
      <c r="E10" s="2" t="s">
        <v>42</v>
      </c>
      <c r="F10" s="2" t="s">
        <v>43</v>
      </c>
    </row>
    <row r="11" customFormat="false" ht="15" hidden="false" customHeight="false" outlineLevel="0" collapsed="false">
      <c r="A11" s="2" t="s">
        <v>44</v>
      </c>
      <c r="B11" s="9" t="n">
        <v>0.155</v>
      </c>
      <c r="C11" s="9" t="n">
        <v>0.155</v>
      </c>
      <c r="D11" s="9" t="n">
        <v>0.155</v>
      </c>
      <c r="E11" s="2" t="s">
        <v>42</v>
      </c>
      <c r="F11" s="2" t="s">
        <v>45</v>
      </c>
    </row>
    <row r="12" customFormat="false" ht="15" hidden="false" customHeight="false" outlineLevel="0" collapsed="false">
      <c r="A12" s="2" t="s">
        <v>46</v>
      </c>
      <c r="B12" s="9" t="n">
        <v>0.025</v>
      </c>
      <c r="C12" s="9" t="n">
        <v>0.025</v>
      </c>
      <c r="D12" s="9" t="n">
        <v>0.025</v>
      </c>
      <c r="E12" s="2" t="s">
        <v>42</v>
      </c>
      <c r="F12" s="2" t="s">
        <v>47</v>
      </c>
    </row>
    <row r="13" customFormat="false" ht="15" hidden="false" customHeight="false" outlineLevel="0" collapsed="false">
      <c r="A13" s="2" t="s">
        <v>48</v>
      </c>
      <c r="B13" s="9" t="n">
        <v>0.75</v>
      </c>
      <c r="C13" s="9" t="n">
        <v>0.65</v>
      </c>
      <c r="D13" s="9" t="n">
        <v>0.85</v>
      </c>
      <c r="E13" s="2" t="s">
        <v>42</v>
      </c>
      <c r="F13" s="2" t="s">
        <v>49</v>
      </c>
    </row>
    <row r="14" customFormat="false" ht="15" hidden="false" customHeight="false" outlineLevel="0" collapsed="false">
      <c r="A14" s="2" t="s">
        <v>50</v>
      </c>
      <c r="B14" s="6" t="n">
        <v>1.3</v>
      </c>
      <c r="C14" s="6" t="n">
        <v>1.2</v>
      </c>
      <c r="D14" s="6" t="n">
        <v>1.4</v>
      </c>
      <c r="E14" s="2" t="s">
        <v>29</v>
      </c>
      <c r="F14" s="2" t="s">
        <v>49</v>
      </c>
    </row>
    <row r="15" customFormat="false" ht="15" hidden="false" customHeight="false" outlineLevel="0" collapsed="false">
      <c r="A15" s="2" t="s">
        <v>51</v>
      </c>
      <c r="B15" s="7" t="n">
        <v>0.6</v>
      </c>
      <c r="C15" s="6" t="n">
        <v>0.3</v>
      </c>
      <c r="D15" s="6" t="n">
        <v>1.2</v>
      </c>
      <c r="E15" s="2" t="s">
        <v>52</v>
      </c>
      <c r="F15" s="2" t="s">
        <v>53</v>
      </c>
    </row>
    <row r="16" customFormat="false" ht="15" hidden="false" customHeight="false" outlineLevel="0" collapsed="false">
      <c r="A16" s="2" t="s">
        <v>54</v>
      </c>
      <c r="B16" s="10" t="n">
        <v>1200</v>
      </c>
      <c r="C16" s="11" t="n">
        <v>900</v>
      </c>
      <c r="D16" s="11" t="n">
        <v>1800</v>
      </c>
      <c r="E16" s="2" t="s">
        <v>55</v>
      </c>
      <c r="F16" s="2" t="s">
        <v>56</v>
      </c>
    </row>
    <row r="17" customFormat="false" ht="15" hidden="false" customHeight="false" outlineLevel="0" collapsed="false">
      <c r="A17" s="2" t="s">
        <v>57</v>
      </c>
      <c r="B17" s="9" t="n">
        <v>0.056</v>
      </c>
      <c r="C17" s="9" t="n">
        <v>0.056</v>
      </c>
      <c r="D17" s="9" t="n">
        <v>0.056</v>
      </c>
      <c r="E17" s="2" t="s">
        <v>58</v>
      </c>
      <c r="F17" s="2" t="s">
        <v>59</v>
      </c>
    </row>
    <row r="18" customFormat="false" ht="15" hidden="false" customHeight="false" outlineLevel="0" collapsed="false">
      <c r="A18" s="2" t="s">
        <v>60</v>
      </c>
      <c r="B18" s="9" t="n">
        <v>0.65</v>
      </c>
      <c r="C18" s="9" t="n">
        <v>0.65</v>
      </c>
      <c r="D18" s="9" t="n">
        <v>0.65</v>
      </c>
      <c r="E18" s="2" t="s">
        <v>42</v>
      </c>
      <c r="F18" s="2" t="s">
        <v>61</v>
      </c>
    </row>
    <row r="19" customFormat="false" ht="15" hidden="false" customHeight="false" outlineLevel="0" collapsed="false">
      <c r="A19" s="2" t="s">
        <v>62</v>
      </c>
      <c r="B19" s="9" t="n">
        <v>0.025</v>
      </c>
      <c r="C19" s="9" t="n">
        <v>0.025</v>
      </c>
      <c r="D19" s="9" t="n">
        <v>0.025</v>
      </c>
      <c r="E19" s="2" t="s">
        <v>58</v>
      </c>
      <c r="F19" s="2" t="s">
        <v>63</v>
      </c>
    </row>
    <row r="20" customFormat="false" ht="15" hidden="false" customHeight="false" outlineLevel="0" collapsed="false">
      <c r="A20" s="2" t="s">
        <v>64</v>
      </c>
      <c r="B20" s="11" t="n">
        <v>7623818</v>
      </c>
      <c r="C20" s="11" t="n">
        <v>7623818</v>
      </c>
      <c r="D20" s="11" t="n">
        <v>7623818</v>
      </c>
      <c r="E20" s="2" t="s">
        <v>65</v>
      </c>
      <c r="F20" s="2" t="s">
        <v>66</v>
      </c>
    </row>
    <row r="21" customFormat="false" ht="15" hidden="false" customHeight="false" outlineLevel="0" collapsed="false">
      <c r="A21" s="2" t="s">
        <v>67</v>
      </c>
      <c r="B21" s="11" t="n">
        <v>2856081</v>
      </c>
      <c r="C21" s="11" t="n">
        <v>2856081</v>
      </c>
      <c r="D21" s="11" t="n">
        <v>2856081</v>
      </c>
      <c r="E21" s="2" t="s">
        <v>68</v>
      </c>
      <c r="F21" s="2" t="s">
        <v>69</v>
      </c>
    </row>
    <row r="22" customFormat="false" ht="15" hidden="false" customHeight="false" outlineLevel="0" collapsed="false">
      <c r="A22" s="2" t="s">
        <v>70</v>
      </c>
      <c r="B22" s="11" t="n">
        <v>3</v>
      </c>
      <c r="C22" s="11" t="n">
        <v>4</v>
      </c>
      <c r="D22" s="11" t="n">
        <v>2</v>
      </c>
      <c r="E22" s="2" t="s">
        <v>71</v>
      </c>
      <c r="F22" s="2" t="s">
        <v>72</v>
      </c>
    </row>
    <row r="23" customFormat="false" ht="15" hidden="false" customHeight="false" outlineLevel="0" collapsed="false">
      <c r="A23" s="2" t="s">
        <v>73</v>
      </c>
      <c r="B23" s="12" t="n">
        <v>58500000</v>
      </c>
      <c r="C23" s="5" t="n">
        <v>38500000</v>
      </c>
      <c r="D23" s="5" t="n">
        <v>90000000</v>
      </c>
      <c r="E23" s="2" t="s">
        <v>39</v>
      </c>
      <c r="F23" s="2" t="s">
        <v>74</v>
      </c>
    </row>
    <row r="24" customFormat="false" ht="15" hidden="false" customHeight="false" outlineLevel="0" collapsed="false">
      <c r="A24" s="2" t="s">
        <v>75</v>
      </c>
      <c r="B24" s="12" t="n">
        <v>1500</v>
      </c>
      <c r="C24" s="5" t="n">
        <v>500</v>
      </c>
      <c r="D24" s="5" t="n">
        <v>3000</v>
      </c>
      <c r="E24" s="2" t="s">
        <v>76</v>
      </c>
      <c r="F24" s="2" t="s">
        <v>77</v>
      </c>
    </row>
    <row r="25" customFormat="false" ht="15" hidden="false" customHeight="false" outlineLevel="0" collapsed="false">
      <c r="A25" s="2" t="s">
        <v>78</v>
      </c>
      <c r="B25" s="12" t="n">
        <v>0</v>
      </c>
      <c r="C25" s="5" t="n">
        <v>0</v>
      </c>
      <c r="D25" s="5" t="n">
        <v>5</v>
      </c>
      <c r="E25" s="2" t="s">
        <v>79</v>
      </c>
      <c r="F25" s="2" t="s">
        <v>80</v>
      </c>
    </row>
    <row r="26" customFormat="false" ht="15" hidden="false" customHeight="false" outlineLevel="0" collapsed="false">
      <c r="A26" s="2" t="s">
        <v>81</v>
      </c>
      <c r="B26" s="5" t="n">
        <v>87894</v>
      </c>
      <c r="C26" s="5" t="n">
        <v>87894</v>
      </c>
      <c r="D26" s="5" t="n">
        <v>87894</v>
      </c>
      <c r="E26" s="2" t="s">
        <v>39</v>
      </c>
      <c r="F26" s="2" t="s">
        <v>82</v>
      </c>
    </row>
    <row r="27" customFormat="false" ht="15" hidden="false" customHeight="false" outlineLevel="0" collapsed="false">
      <c r="A27" s="2" t="s">
        <v>83</v>
      </c>
      <c r="B27" s="5" t="n">
        <v>2737400000</v>
      </c>
      <c r="C27" s="5" t="n">
        <v>2737400000</v>
      </c>
      <c r="D27" s="5" t="n">
        <v>2737400000</v>
      </c>
      <c r="E27" s="2" t="s">
        <v>84</v>
      </c>
      <c r="F27" s="2" t="s">
        <v>85</v>
      </c>
    </row>
    <row r="28" customFormat="false" ht="15" hidden="false" customHeight="false" outlineLevel="0" collapsed="false">
      <c r="A28" s="2" t="s">
        <v>86</v>
      </c>
      <c r="B28" s="11" t="n">
        <v>5040000</v>
      </c>
      <c r="C28" s="11" t="n">
        <v>5040000</v>
      </c>
      <c r="D28" s="11" t="n">
        <v>5040000</v>
      </c>
      <c r="E28" s="2" t="s">
        <v>87</v>
      </c>
      <c r="F28" s="2" t="s">
        <v>88</v>
      </c>
    </row>
    <row r="29" customFormat="false" ht="15" hidden="false" customHeight="false" outlineLevel="0" collapsed="false">
      <c r="A29" s="2" t="s">
        <v>89</v>
      </c>
      <c r="B29" s="5" t="n">
        <v>1004000000</v>
      </c>
      <c r="C29" s="5" t="n">
        <v>1004000000</v>
      </c>
      <c r="D29" s="5" t="n">
        <v>1004000000</v>
      </c>
      <c r="E29" s="2" t="s">
        <v>84</v>
      </c>
      <c r="F29" s="2" t="s">
        <v>90</v>
      </c>
    </row>
    <row r="30" customFormat="false" ht="15" hidden="false" customHeight="false" outlineLevel="0" collapsed="false">
      <c r="A30" s="2" t="s">
        <v>91</v>
      </c>
      <c r="B30" s="5" t="n">
        <v>85900</v>
      </c>
      <c r="C30" s="5" t="n">
        <v>85900</v>
      </c>
      <c r="D30" s="5" t="n">
        <v>85900</v>
      </c>
      <c r="E30" s="2" t="s">
        <v>39</v>
      </c>
      <c r="F30" s="2" t="s">
        <v>92</v>
      </c>
    </row>
    <row r="31" customFormat="false" ht="15" hidden="false" customHeight="false" outlineLevel="0" collapsed="false">
      <c r="A31" s="2" t="s">
        <v>93</v>
      </c>
      <c r="B31" s="5" t="n">
        <v>98000</v>
      </c>
      <c r="C31" s="5" t="n">
        <v>98000</v>
      </c>
      <c r="D31" s="5" t="n">
        <v>98000</v>
      </c>
      <c r="E31" s="2" t="s">
        <v>39</v>
      </c>
      <c r="F31" s="2" t="s">
        <v>94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1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42"/>
    <col collapsed="false" customWidth="true" hidden="false" outlineLevel="0" max="3" min="3" style="0" width="26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6" min="6" style="0" width="50"/>
    <col collapsed="false" customWidth="true" hidden="false" outlineLevel="0" max="7" min="7" style="0" width="10"/>
    <col collapsed="false" customWidth="true" hidden="false" outlineLevel="0" max="8" min="8" style="0" width="18"/>
    <col collapsed="false" customWidth="true" hidden="false" outlineLevel="0" max="9" min="9" style="0" width="12"/>
    <col collapsed="false" customWidth="true" hidden="false" outlineLevel="0" max="10" min="10" style="0" width="10"/>
    <col collapsed="false" customWidth="true" hidden="false" outlineLevel="0" max="12" min="11" style="0" width="12"/>
    <col collapsed="false" customWidth="true" hidden="false" outlineLevel="0" max="13" min="13" style="0" width="9"/>
    <col collapsed="false" customWidth="true" hidden="false" outlineLevel="0" max="14" min="14" style="0" width="10"/>
    <col collapsed="false" customWidth="true" hidden="false" outlineLevel="0" max="16" min="15" style="0" width="11"/>
    <col collapsed="false" customWidth="true" hidden="false" outlineLevel="0" max="18" min="17" style="0" width="12"/>
    <col collapsed="false" customWidth="true" hidden="false" outlineLevel="0" max="20" min="19" style="0" width="11"/>
    <col collapsed="false" customWidth="true" hidden="false" outlineLevel="0" max="21" min="21" style="0" width="12"/>
    <col collapsed="false" customWidth="true" hidden="false" outlineLevel="0" max="22" min="22" style="0" width="16"/>
    <col collapsed="false" customWidth="true" hidden="false" outlineLevel="0" max="23" min="23" style="0" width="15"/>
    <col collapsed="false" customWidth="true" hidden="false" outlineLevel="0" max="24" min="24" style="0" width="14"/>
    <col collapsed="false" customWidth="true" hidden="false" outlineLevel="0" max="25" min="25" style="0" width="16"/>
    <col collapsed="false" customWidth="true" hidden="false" outlineLevel="0" max="26" min="26" style="0" width="14"/>
    <col collapsed="false" customWidth="true" hidden="false" outlineLevel="0" max="28" min="27" style="0" width="12"/>
  </cols>
  <sheetData>
    <row r="1" customFormat="false" ht="42" hidden="false" customHeight="true" outlineLevel="0" collapsed="false">
      <c r="A1" s="4" t="s">
        <v>95</v>
      </c>
      <c r="B1" s="4" t="s">
        <v>96</v>
      </c>
      <c r="C1" s="4" t="s">
        <v>97</v>
      </c>
      <c r="D1" s="4" t="s">
        <v>98</v>
      </c>
      <c r="E1" s="4" t="s">
        <v>99</v>
      </c>
      <c r="F1" s="4" t="s">
        <v>100</v>
      </c>
      <c r="G1" s="4" t="s">
        <v>101</v>
      </c>
      <c r="H1" s="4" t="s">
        <v>102</v>
      </c>
      <c r="I1" s="4" t="s">
        <v>103</v>
      </c>
      <c r="J1" s="4" t="s">
        <v>104</v>
      </c>
      <c r="K1" s="4" t="s">
        <v>105</v>
      </c>
      <c r="L1" s="4" t="s">
        <v>106</v>
      </c>
      <c r="M1" s="4" t="s">
        <v>107</v>
      </c>
      <c r="N1" s="4" t="s">
        <v>108</v>
      </c>
      <c r="O1" s="4" t="s">
        <v>109</v>
      </c>
      <c r="P1" s="4" t="s">
        <v>110</v>
      </c>
      <c r="Q1" s="4" t="s">
        <v>111</v>
      </c>
      <c r="R1" s="4" t="s">
        <v>112</v>
      </c>
      <c r="S1" s="4" t="s">
        <v>113</v>
      </c>
      <c r="T1" s="4" t="s">
        <v>114</v>
      </c>
      <c r="U1" s="4" t="s">
        <v>115</v>
      </c>
      <c r="V1" s="4" t="s">
        <v>116</v>
      </c>
      <c r="W1" s="4" t="s">
        <v>117</v>
      </c>
      <c r="X1" s="4" t="s">
        <v>118</v>
      </c>
      <c r="Y1" s="4" t="s">
        <v>119</v>
      </c>
      <c r="Z1" s="4" t="s">
        <v>120</v>
      </c>
      <c r="AA1" s="4" t="s">
        <v>121</v>
      </c>
      <c r="AB1" s="4" t="s">
        <v>122</v>
      </c>
    </row>
    <row r="2" customFormat="false" ht="15" hidden="false" customHeight="false" outlineLevel="0" collapsed="false">
      <c r="A2" s="2" t="s">
        <v>123</v>
      </c>
      <c r="B2" s="2" t="s">
        <v>124</v>
      </c>
      <c r="C2" s="2" t="s">
        <v>125</v>
      </c>
      <c r="D2" s="2" t="s">
        <v>126</v>
      </c>
      <c r="E2" s="2" t="s">
        <v>127</v>
      </c>
      <c r="F2" s="2" t="s">
        <v>128</v>
      </c>
      <c r="G2" s="13" t="n">
        <v>15</v>
      </c>
      <c r="H2" s="13" t="s">
        <v>129</v>
      </c>
      <c r="I2" s="14" t="n">
        <v>450</v>
      </c>
      <c r="J2" s="13" t="n">
        <v>1</v>
      </c>
      <c r="K2" s="13" t="n">
        <v>0</v>
      </c>
      <c r="L2" s="13" t="n">
        <v>0</v>
      </c>
      <c r="M2" s="15" t="n">
        <v>0.007</v>
      </c>
      <c r="N2" s="15" t="n">
        <v>0.02</v>
      </c>
      <c r="O2" s="13" t="n">
        <v>9.3</v>
      </c>
      <c r="P2" s="16" t="n">
        <f aca="false">IF(H2="operating",I2*Facilities!$Z$118,0)</f>
        <v>149.824372541077</v>
      </c>
      <c r="Q2" s="16" t="n">
        <f aca="false">IF(H2="operating",P2,IF(OR(H2="under construction",H2="approved/planned",H2="proposed"),I2,0))</f>
        <v>149.824372541077</v>
      </c>
      <c r="R2" s="16" t="n">
        <f aca="false">Q2</f>
        <v>149.824372541077</v>
      </c>
      <c r="S2" s="17" t="n">
        <f aca="false">IF(H2="cancelled/withdrawn",0,IF(K2&gt;0,K2,IF(AND(H2="operating",I2&gt;0,I2&lt;=2),MAX(3,Q2*IF(J2=1,Assumptions!$B$6,Assumptions!$B$7)),Q2*IF(J2=1,Assumptions!$B$6,Assumptions!$B$7))))</f>
        <v>89.8946235246461</v>
      </c>
      <c r="T2" s="17" t="n">
        <f aca="false">S2*Assumptions!$B$8</f>
        <v>169.900838461581</v>
      </c>
      <c r="U2" s="17" t="n">
        <f aca="false">R2*Assumptions!$B$2/1000000*Assumptions!$B$4</f>
        <v>4232.53852428542</v>
      </c>
      <c r="V2" s="18" t="n">
        <f aca="false">R2*Assumptions!$B$2*Assumptions!$B$18*(Assumptions!$B$17+M2+N2)</f>
        <v>91338181.3540794</v>
      </c>
      <c r="W2" s="18" t="n">
        <f aca="false">Q2*Assumptions!$B$2*Assumptions!$B$10*Assumptions!$B$11*O2/100+Q2*Assumptions!$B$3*Assumptions!$B$12*Assumptions!$B$11*O2/100</f>
        <v>8995226.84519813</v>
      </c>
      <c r="X2" s="18" t="n">
        <f aca="false">S2*Assumptions!$B$9*Assumptions!$B$19</f>
        <v>224736.558811615</v>
      </c>
      <c r="Y2" s="18" t="n">
        <f aca="false">W2+X2</f>
        <v>9219963.40400975</v>
      </c>
      <c r="Z2" s="18" t="n">
        <f aca="false">S2*Assumptions!$B$9</f>
        <v>8989462.35246461</v>
      </c>
      <c r="AA2" s="17" t="n">
        <f aca="false">Q2*Assumptions!$B$13*Assumptions!$B$14*8760/1000</f>
        <v>1279.64996587334</v>
      </c>
      <c r="AB2" s="17" t="n">
        <f aca="false">Q2*Assumptions!$B$13*8760*1000*Assumptions!$B$15/1233481.8</f>
        <v>478.813450313515</v>
      </c>
    </row>
    <row r="3" customFormat="false" ht="15" hidden="false" customHeight="false" outlineLevel="0" collapsed="false">
      <c r="A3" s="2" t="s">
        <v>130</v>
      </c>
      <c r="B3" s="2" t="s">
        <v>131</v>
      </c>
      <c r="C3" s="2" t="s">
        <v>132</v>
      </c>
      <c r="D3" s="2" t="s">
        <v>133</v>
      </c>
      <c r="E3" s="2" t="s">
        <v>127</v>
      </c>
      <c r="F3" s="2" t="s">
        <v>134</v>
      </c>
      <c r="G3" s="13" t="n">
        <v>23</v>
      </c>
      <c r="H3" s="13" t="s">
        <v>129</v>
      </c>
      <c r="I3" s="14" t="n">
        <v>350</v>
      </c>
      <c r="J3" s="13" t="n">
        <v>1</v>
      </c>
      <c r="K3" s="13" t="n">
        <v>0</v>
      </c>
      <c r="L3" s="13" t="n">
        <v>0</v>
      </c>
      <c r="M3" s="15" t="n">
        <v>0.007</v>
      </c>
      <c r="N3" s="15" t="n">
        <v>0.035</v>
      </c>
      <c r="O3" s="13" t="n">
        <v>11</v>
      </c>
      <c r="P3" s="16" t="n">
        <f aca="false">IF(H3="operating",I3*Facilities!$Z$118,0)</f>
        <v>116.530067531949</v>
      </c>
      <c r="Q3" s="16" t="n">
        <f aca="false">IF(H3="operating",P3,IF(OR(H3="under construction",H3="approved/planned",H3="proposed"),I3,0))</f>
        <v>116.530067531949</v>
      </c>
      <c r="R3" s="16" t="n">
        <f aca="false">Q3</f>
        <v>116.530067531949</v>
      </c>
      <c r="S3" s="17" t="n">
        <f aca="false">IF(H3="cancelled/withdrawn",0,IF(K3&gt;0,K3,IF(AND(H3="operating",I3&gt;0,I3&lt;=2),MAX(3,Q3*IF(J3=1,Assumptions!$B$6,Assumptions!$B$7)),Q3*IF(J3=1,Assumptions!$B$6,Assumptions!$B$7))))</f>
        <v>69.9180405191692</v>
      </c>
      <c r="T3" s="17" t="n">
        <f aca="false">S3*Assumptions!$B$8</f>
        <v>132.14509658123</v>
      </c>
      <c r="U3" s="17" t="n">
        <f aca="false">R3*Assumptions!$B$2/1000000*Assumptions!$B$4</f>
        <v>3291.97440777755</v>
      </c>
      <c r="V3" s="18" t="n">
        <f aca="false">R3*Assumptions!$B$2*Assumptions!$B$18*(Assumptions!$B$17+M3+N3)</f>
        <v>83879507.910172</v>
      </c>
      <c r="W3" s="18" t="n">
        <f aca="false">Q3*Assumptions!$B$2*Assumptions!$B$10*Assumptions!$B$11*O3/100+Q3*Assumptions!$B$3*Assumptions!$B$12*Assumptions!$B$11*O3/100</f>
        <v>8275178.81816315</v>
      </c>
      <c r="X3" s="18" t="n">
        <f aca="false">S3*Assumptions!$B$9*Assumptions!$B$19</f>
        <v>174795.101297923</v>
      </c>
      <c r="Y3" s="18" t="n">
        <f aca="false">W3+X3</f>
        <v>8449973.91946108</v>
      </c>
      <c r="Z3" s="18" t="n">
        <f aca="false">S3*Assumptions!$B$9</f>
        <v>6991804.05191692</v>
      </c>
      <c r="AA3" s="17" t="n">
        <f aca="false">Q3*Assumptions!$B$13*Assumptions!$B$14*8760/1000</f>
        <v>995.283306790374</v>
      </c>
      <c r="AB3" s="17" t="n">
        <f aca="false">Q3*Assumptions!$B$13*8760*1000*Assumptions!$B$15/1233481.8</f>
        <v>372.410461354956</v>
      </c>
    </row>
    <row r="4" customFormat="false" ht="15" hidden="false" customHeight="false" outlineLevel="0" collapsed="false">
      <c r="A4" s="2" t="s">
        <v>135</v>
      </c>
      <c r="B4" s="2" t="s">
        <v>136</v>
      </c>
      <c r="C4" s="2" t="s">
        <v>137</v>
      </c>
      <c r="D4" s="2" t="s">
        <v>133</v>
      </c>
      <c r="E4" s="2" t="s">
        <v>127</v>
      </c>
      <c r="F4" s="2" t="s">
        <v>138</v>
      </c>
      <c r="G4" s="13" t="n">
        <v>23</v>
      </c>
      <c r="H4" s="13" t="s">
        <v>129</v>
      </c>
      <c r="I4" s="14" t="n">
        <v>333</v>
      </c>
      <c r="J4" s="13" t="n">
        <v>1</v>
      </c>
      <c r="K4" s="13" t="n">
        <v>100</v>
      </c>
      <c r="L4" s="13" t="n">
        <v>1000</v>
      </c>
      <c r="M4" s="15" t="n">
        <v>0.007</v>
      </c>
      <c r="N4" s="15" t="n">
        <v>0.035</v>
      </c>
      <c r="O4" s="13" t="n">
        <v>11</v>
      </c>
      <c r="P4" s="16" t="n">
        <f aca="false">IF(H4="operating",I4*Facilities!$Z$118,0)</f>
        <v>110.870035680397</v>
      </c>
      <c r="Q4" s="16" t="n">
        <f aca="false">IF(H4="operating",P4,IF(OR(H4="under construction",H4="approved/planned",H4="proposed"),I4,0))</f>
        <v>110.870035680397</v>
      </c>
      <c r="R4" s="16" t="n">
        <f aca="false">Q4</f>
        <v>110.870035680397</v>
      </c>
      <c r="S4" s="17" t="n">
        <f aca="false">IF(H4="cancelled/withdrawn",0,IF(K4&gt;0,K4,IF(AND(H4="operating",I4&gt;0,I4&lt;=2),MAX(3,Q4*IF(J4=1,Assumptions!$B$6,Assumptions!$B$7)),Q4*IF(J4=1,Assumptions!$B$6,Assumptions!$B$7))))</f>
        <v>100</v>
      </c>
      <c r="T4" s="17" t="n">
        <f aca="false">S4*Assumptions!$B$8</f>
        <v>189</v>
      </c>
      <c r="U4" s="17" t="n">
        <f aca="false">R4*Assumptions!$B$2/1000000*Assumptions!$B$4</f>
        <v>3132.07850797121</v>
      </c>
      <c r="V4" s="18" t="n">
        <f aca="false">R4*Assumptions!$B$2*Assumptions!$B$18*(Assumptions!$B$17+M4+N4)</f>
        <v>79805360.3831065</v>
      </c>
      <c r="W4" s="18" t="n">
        <f aca="false">Q4*Assumptions!$B$2*Assumptions!$B$10*Assumptions!$B$11*O4/100+Q4*Assumptions!$B$3*Assumptions!$B$12*Assumptions!$B$11*O4/100</f>
        <v>7873241.56128094</v>
      </c>
      <c r="X4" s="18" t="n">
        <f aca="false">S4*Assumptions!$B$9*Assumptions!$B$19</f>
        <v>250000</v>
      </c>
      <c r="Y4" s="18" t="n">
        <f aca="false">W4+X4</f>
        <v>8123241.56128094</v>
      </c>
      <c r="Z4" s="18" t="n">
        <f aca="false">S4*Assumptions!$B$9</f>
        <v>10000000</v>
      </c>
      <c r="AA4" s="17" t="n">
        <f aca="false">Q4*Assumptions!$B$13*Assumptions!$B$14*8760/1000</f>
        <v>946.94097474627</v>
      </c>
      <c r="AB4" s="17" t="n">
        <f aca="false">Q4*Assumptions!$B$13*8760*1000*Assumptions!$B$15/1233481.8</f>
        <v>354.321953232001</v>
      </c>
    </row>
    <row r="5" customFormat="false" ht="15" hidden="false" customHeight="false" outlineLevel="0" collapsed="false">
      <c r="A5" s="2" t="s">
        <v>139</v>
      </c>
      <c r="B5" s="2" t="s">
        <v>140</v>
      </c>
      <c r="C5" s="2" t="s">
        <v>141</v>
      </c>
      <c r="D5" s="2" t="s">
        <v>133</v>
      </c>
      <c r="E5" s="2" t="s">
        <v>127</v>
      </c>
      <c r="F5" s="2" t="s">
        <v>142</v>
      </c>
      <c r="G5" s="13" t="n">
        <v>23</v>
      </c>
      <c r="H5" s="13" t="s">
        <v>129</v>
      </c>
      <c r="I5" s="14" t="n">
        <v>280</v>
      </c>
      <c r="J5" s="13" t="n">
        <v>1</v>
      </c>
      <c r="K5" s="13" t="n">
        <v>0</v>
      </c>
      <c r="L5" s="13" t="n">
        <v>0</v>
      </c>
      <c r="M5" s="15" t="n">
        <v>0.007</v>
      </c>
      <c r="N5" s="15" t="n">
        <v>0.035</v>
      </c>
      <c r="O5" s="13" t="n">
        <v>11</v>
      </c>
      <c r="P5" s="16" t="n">
        <f aca="false">IF(H5="operating",I5*Facilities!$Z$118,0)</f>
        <v>93.2240540255589</v>
      </c>
      <c r="Q5" s="16" t="n">
        <f aca="false">IF(H5="operating",P5,IF(OR(H5="under construction",H5="approved/planned",H5="proposed"),I5,0))</f>
        <v>93.2240540255589</v>
      </c>
      <c r="R5" s="16" t="n">
        <f aca="false">Q5</f>
        <v>93.2240540255589</v>
      </c>
      <c r="S5" s="17" t="n">
        <f aca="false">IF(H5="cancelled/withdrawn",0,IF(K5&gt;0,K5,IF(AND(H5="operating",I5&gt;0,I5&lt;=2),MAX(3,Q5*IF(J5=1,Assumptions!$B$6,Assumptions!$B$7)),Q5*IF(J5=1,Assumptions!$B$6,Assumptions!$B$7))))</f>
        <v>55.9344324153354</v>
      </c>
      <c r="T5" s="17" t="n">
        <f aca="false">S5*Assumptions!$B$8</f>
        <v>105.716077264984</v>
      </c>
      <c r="U5" s="17" t="n">
        <f aca="false">R5*Assumptions!$B$2/1000000*Assumptions!$B$4</f>
        <v>2633.57952622204</v>
      </c>
      <c r="V5" s="18" t="n">
        <f aca="false">R5*Assumptions!$B$2*Assumptions!$B$18*(Assumptions!$B$17+M5+N5)</f>
        <v>67103606.3281376</v>
      </c>
      <c r="W5" s="18" t="n">
        <f aca="false">Q5*Assumptions!$B$2*Assumptions!$B$10*Assumptions!$B$11*O5/100+Q5*Assumptions!$B$3*Assumptions!$B$12*Assumptions!$B$11*O5/100</f>
        <v>6620143.05453052</v>
      </c>
      <c r="X5" s="18" t="n">
        <f aca="false">S5*Assumptions!$B$9*Assumptions!$B$19</f>
        <v>139836.081038338</v>
      </c>
      <c r="Y5" s="18" t="n">
        <f aca="false">W5+X5</f>
        <v>6759979.13556886</v>
      </c>
      <c r="Z5" s="18" t="n">
        <f aca="false">S5*Assumptions!$B$9</f>
        <v>5593443.24153354</v>
      </c>
      <c r="AA5" s="17" t="n">
        <f aca="false">Q5*Assumptions!$B$13*Assumptions!$B$14*8760/1000</f>
        <v>796.226645432299</v>
      </c>
      <c r="AB5" s="17" t="n">
        <f aca="false">Q5*Assumptions!$B$13*8760*1000*Assumptions!$B$15/1233481.8</f>
        <v>297.928369083965</v>
      </c>
    </row>
    <row r="6" customFormat="false" ht="15" hidden="false" customHeight="false" outlineLevel="0" collapsed="false">
      <c r="A6" s="2" t="s">
        <v>143</v>
      </c>
      <c r="B6" s="2" t="s">
        <v>144</v>
      </c>
      <c r="C6" s="2" t="s">
        <v>145</v>
      </c>
      <c r="D6" s="2" t="s">
        <v>126</v>
      </c>
      <c r="E6" s="2" t="s">
        <v>127</v>
      </c>
      <c r="F6" s="2" t="s">
        <v>146</v>
      </c>
      <c r="G6" s="13" t="n">
        <v>15</v>
      </c>
      <c r="H6" s="13" t="s">
        <v>129</v>
      </c>
      <c r="I6" s="14" t="n">
        <v>240</v>
      </c>
      <c r="J6" s="13" t="n">
        <v>0</v>
      </c>
      <c r="K6" s="13" t="n">
        <v>0</v>
      </c>
      <c r="L6" s="13" t="n">
        <v>0</v>
      </c>
      <c r="M6" s="15" t="n">
        <v>0.007</v>
      </c>
      <c r="N6" s="15" t="n">
        <v>0.02</v>
      </c>
      <c r="O6" s="13" t="n">
        <v>9.3</v>
      </c>
      <c r="P6" s="16" t="n">
        <f aca="false">IF(H6="operating",I6*Facilities!$Z$118,0)</f>
        <v>79.9063320219077</v>
      </c>
      <c r="Q6" s="16" t="n">
        <f aca="false">IF(H6="operating",P6,IF(OR(H6="under construction",H6="approved/planned",H6="proposed"),I6,0))</f>
        <v>79.9063320219077</v>
      </c>
      <c r="R6" s="16" t="n">
        <f aca="false">Q6</f>
        <v>79.9063320219077</v>
      </c>
      <c r="S6" s="17" t="n">
        <f aca="false">IF(H6="cancelled/withdrawn",0,IF(K6&gt;0,K6,IF(AND(H6="operating",I6&gt;0,I6&lt;=2),MAX(3,Q6*IF(J6=1,Assumptions!$B$6,Assumptions!$B$7)),Q6*IF(J6=1,Assumptions!$B$6,Assumptions!$B$7))))</f>
        <v>159.812664043815</v>
      </c>
      <c r="T6" s="17" t="n">
        <f aca="false">S6*Assumptions!$B$8</f>
        <v>302.045935042811</v>
      </c>
      <c r="U6" s="17" t="n">
        <f aca="false">R6*Assumptions!$B$2/1000000*Assumptions!$B$4</f>
        <v>2257.35387961889</v>
      </c>
      <c r="V6" s="18" t="n">
        <f aca="false">R6*Assumptions!$B$2*Assumptions!$B$18*(Assumptions!$B$17+M6+N6)</f>
        <v>48713696.7221757</v>
      </c>
      <c r="W6" s="18" t="n">
        <f aca="false">Q6*Assumptions!$B$2*Assumptions!$B$10*Assumptions!$B$11*O6/100+Q6*Assumptions!$B$3*Assumptions!$B$12*Assumptions!$B$11*O6/100</f>
        <v>4797454.317439</v>
      </c>
      <c r="X6" s="18" t="n">
        <f aca="false">S6*Assumptions!$B$9*Assumptions!$B$19</f>
        <v>399531.660109538</v>
      </c>
      <c r="Y6" s="18" t="n">
        <f aca="false">W6+X6</f>
        <v>5196985.97754854</v>
      </c>
      <c r="Z6" s="18" t="n">
        <f aca="false">S6*Assumptions!$B$9</f>
        <v>15981266.4043815</v>
      </c>
      <c r="AA6" s="17" t="n">
        <f aca="false">Q6*Assumptions!$B$13*Assumptions!$B$14*8760/1000</f>
        <v>682.479981799113</v>
      </c>
      <c r="AB6" s="17" t="n">
        <f aca="false">Q6*Assumptions!$B$13*8760*1000*Assumptions!$B$15/1233481.8</f>
        <v>255.367173500541</v>
      </c>
    </row>
    <row r="7" customFormat="false" ht="15" hidden="false" customHeight="false" outlineLevel="0" collapsed="false">
      <c r="A7" s="2" t="s">
        <v>147</v>
      </c>
      <c r="B7" s="2" t="s">
        <v>148</v>
      </c>
      <c r="C7" s="2" t="s">
        <v>149</v>
      </c>
      <c r="D7" s="2" t="s">
        <v>150</v>
      </c>
      <c r="E7" s="2" t="s">
        <v>127</v>
      </c>
      <c r="F7" s="2" t="s">
        <v>151</v>
      </c>
      <c r="G7" s="13" t="n">
        <v>22</v>
      </c>
      <c r="H7" s="13" t="s">
        <v>129</v>
      </c>
      <c r="I7" s="14" t="n">
        <v>225</v>
      </c>
      <c r="J7" s="13" t="n">
        <v>0</v>
      </c>
      <c r="K7" s="13" t="n">
        <v>0</v>
      </c>
      <c r="L7" s="13" t="n">
        <v>0</v>
      </c>
      <c r="M7" s="15" t="n">
        <v>0.007</v>
      </c>
      <c r="N7" s="15" t="n">
        <v>0.025</v>
      </c>
      <c r="O7" s="13" t="n">
        <v>13.02</v>
      </c>
      <c r="P7" s="16" t="n">
        <f aca="false">IF(H7="operating",I7*Facilities!$Z$118,0)</f>
        <v>74.9121862705384</v>
      </c>
      <c r="Q7" s="16" t="n">
        <f aca="false">IF(H7="operating",P7,IF(OR(H7="under construction",H7="approved/planned",H7="proposed"),I7,0))</f>
        <v>74.9121862705384</v>
      </c>
      <c r="R7" s="16" t="n">
        <f aca="false">Q7</f>
        <v>74.9121862705384</v>
      </c>
      <c r="S7" s="17" t="n">
        <f aca="false">IF(H7="cancelled/withdrawn",0,IF(K7&gt;0,K7,IF(AND(H7="operating",I7&gt;0,I7&lt;=2),MAX(3,Q7*IF(J7=1,Assumptions!$B$6,Assumptions!$B$7)),Q7*IF(J7=1,Assumptions!$B$6,Assumptions!$B$7))))</f>
        <v>149.824372541077</v>
      </c>
      <c r="T7" s="17" t="n">
        <f aca="false">S7*Assumptions!$B$8</f>
        <v>283.168064102635</v>
      </c>
      <c r="U7" s="17" t="n">
        <f aca="false">R7*Assumptions!$B$2/1000000*Assumptions!$B$4</f>
        <v>2116.26926214271</v>
      </c>
      <c r="V7" s="18" t="n">
        <f aca="false">R7*Assumptions!$B$2*Assumptions!$B$18*(Assumptions!$B$17+M7+N7)</f>
        <v>48420240.7178252</v>
      </c>
      <c r="W7" s="18" t="n">
        <f aca="false">Q7*Assumptions!$B$2*Assumptions!$B$10*Assumptions!$B$11*O7/100+Q7*Assumptions!$B$3*Assumptions!$B$12*Assumptions!$B$11*O7/100</f>
        <v>6296658.79163869</v>
      </c>
      <c r="X7" s="18" t="n">
        <f aca="false">S7*Assumptions!$B$9*Assumptions!$B$19</f>
        <v>374560.931352692</v>
      </c>
      <c r="Y7" s="18" t="n">
        <f aca="false">W7+X7</f>
        <v>6671219.72299138</v>
      </c>
      <c r="Z7" s="18" t="n">
        <f aca="false">S7*Assumptions!$B$9</f>
        <v>14982437.2541077</v>
      </c>
      <c r="AA7" s="17" t="n">
        <f aca="false">Q7*Assumptions!$B$13*Assumptions!$B$14*8760/1000</f>
        <v>639.824982936669</v>
      </c>
      <c r="AB7" s="17" t="n">
        <f aca="false">Q7*Assumptions!$B$13*8760*1000*Assumptions!$B$15/1233481.8</f>
        <v>239.406725156757</v>
      </c>
    </row>
    <row r="8" customFormat="false" ht="15" hidden="false" customHeight="false" outlineLevel="0" collapsed="false">
      <c r="A8" s="2" t="s">
        <v>152</v>
      </c>
      <c r="B8" s="2" t="s">
        <v>153</v>
      </c>
      <c r="C8" s="2" t="s">
        <v>154</v>
      </c>
      <c r="D8" s="2" t="s">
        <v>155</v>
      </c>
      <c r="E8" s="2" t="s">
        <v>127</v>
      </c>
      <c r="F8" s="2" t="s">
        <v>156</v>
      </c>
      <c r="G8" s="13" t="n">
        <v>8</v>
      </c>
      <c r="H8" s="13" t="s">
        <v>129</v>
      </c>
      <c r="I8" s="14" t="n">
        <v>210</v>
      </c>
      <c r="J8" s="13" t="n">
        <v>0</v>
      </c>
      <c r="K8" s="13" t="n">
        <v>0</v>
      </c>
      <c r="L8" s="13" t="n">
        <v>0</v>
      </c>
      <c r="M8" s="15" t="n">
        <v>0.007</v>
      </c>
      <c r="N8" s="15" t="n">
        <v>0.028</v>
      </c>
      <c r="O8" s="13" t="n">
        <v>11</v>
      </c>
      <c r="P8" s="16" t="n">
        <f aca="false">IF(H8="operating",I8*Facilities!$Z$118,0)</f>
        <v>69.9180405191692</v>
      </c>
      <c r="Q8" s="16" t="n">
        <f aca="false">IF(H8="operating",P8,IF(OR(H8="under construction",H8="approved/planned",H8="proposed"),I8,0))</f>
        <v>69.9180405191692</v>
      </c>
      <c r="R8" s="16" t="n">
        <f aca="false">Q8</f>
        <v>69.9180405191692</v>
      </c>
      <c r="S8" s="17" t="n">
        <f aca="false">IF(H8="cancelled/withdrawn",0,IF(K8&gt;0,K8,IF(AND(H8="operating",I8&gt;0,I8&lt;=2),MAX(3,Q8*IF(J8=1,Assumptions!$B$6,Assumptions!$B$7)),Q8*IF(J8=1,Assumptions!$B$6,Assumptions!$B$7))))</f>
        <v>139.836081038338</v>
      </c>
      <c r="T8" s="17" t="n">
        <f aca="false">S8*Assumptions!$B$8</f>
        <v>264.29019316246</v>
      </c>
      <c r="U8" s="17" t="n">
        <f aca="false">R8*Assumptions!$B$2/1000000*Assumptions!$B$4</f>
        <v>1975.18464466653</v>
      </c>
      <c r="V8" s="18" t="n">
        <f aca="false">R8*Assumptions!$B$2*Assumptions!$B$18*(Assumptions!$B$17+M8+N8)</f>
        <v>46732868.6928101</v>
      </c>
      <c r="W8" s="18" t="n">
        <f aca="false">Q8*Assumptions!$B$2*Assumptions!$B$10*Assumptions!$B$11*O8/100+Q8*Assumptions!$B$3*Assumptions!$B$12*Assumptions!$B$11*O8/100</f>
        <v>4965107.29089789</v>
      </c>
      <c r="X8" s="18" t="n">
        <f aca="false">S8*Assumptions!$B$9*Assumptions!$B$19</f>
        <v>349590.202595846</v>
      </c>
      <c r="Y8" s="18" t="n">
        <f aca="false">W8+X8</f>
        <v>5314697.49349374</v>
      </c>
      <c r="Z8" s="18" t="n">
        <f aca="false">S8*Assumptions!$B$9</f>
        <v>13983608.1038338</v>
      </c>
      <c r="AA8" s="17" t="n">
        <f aca="false">Q8*Assumptions!$B$13*Assumptions!$B$14*8760/1000</f>
        <v>597.169984074224</v>
      </c>
      <c r="AB8" s="17" t="n">
        <f aca="false">Q8*Assumptions!$B$13*8760*1000*Assumptions!$B$15/1233481.8</f>
        <v>223.446276812974</v>
      </c>
    </row>
    <row r="9" customFormat="false" ht="15" hidden="false" customHeight="false" outlineLevel="0" collapsed="false">
      <c r="A9" s="2" t="s">
        <v>157</v>
      </c>
      <c r="B9" s="2" t="s">
        <v>158</v>
      </c>
      <c r="C9" s="2" t="s">
        <v>159</v>
      </c>
      <c r="D9" s="2" t="s">
        <v>155</v>
      </c>
      <c r="E9" s="2" t="s">
        <v>127</v>
      </c>
      <c r="F9" s="2" t="s">
        <v>160</v>
      </c>
      <c r="G9" s="13" t="n">
        <v>2</v>
      </c>
      <c r="H9" s="13" t="s">
        <v>129</v>
      </c>
      <c r="I9" s="14" t="n">
        <v>180</v>
      </c>
      <c r="J9" s="13" t="n">
        <v>0</v>
      </c>
      <c r="K9" s="13" t="n">
        <v>0</v>
      </c>
      <c r="L9" s="13" t="n">
        <v>0</v>
      </c>
      <c r="M9" s="15" t="n">
        <v>0.007</v>
      </c>
      <c r="N9" s="15" t="n">
        <v>0.028</v>
      </c>
      <c r="O9" s="13" t="n">
        <v>11</v>
      </c>
      <c r="P9" s="16" t="n">
        <f aca="false">IF(H9="operating",I9*Facilities!$Z$118,0)</f>
        <v>59.9297490164307</v>
      </c>
      <c r="Q9" s="16" t="n">
        <f aca="false">IF(H9="operating",P9,IF(OR(H9="under construction",H9="approved/planned",H9="proposed"),I9,0))</f>
        <v>59.9297490164307</v>
      </c>
      <c r="R9" s="16" t="n">
        <f aca="false">Q9</f>
        <v>59.9297490164307</v>
      </c>
      <c r="S9" s="17" t="n">
        <f aca="false">IF(H9="cancelled/withdrawn",0,IF(K9&gt;0,K9,IF(AND(H9="operating",I9&gt;0,I9&lt;=2),MAX(3,Q9*IF(J9=1,Assumptions!$B$6,Assumptions!$B$7)),Q9*IF(J9=1,Assumptions!$B$6,Assumptions!$B$7))))</f>
        <v>119.859498032861</v>
      </c>
      <c r="T9" s="17" t="n">
        <f aca="false">S9*Assumptions!$B$8</f>
        <v>226.534451282108</v>
      </c>
      <c r="U9" s="17" t="n">
        <f aca="false">R9*Assumptions!$B$2/1000000*Assumptions!$B$4</f>
        <v>1693.01540971417</v>
      </c>
      <c r="V9" s="18" t="n">
        <f aca="false">R9*Assumptions!$B$2*Assumptions!$B$18*(Assumptions!$B$17+M9+N9)</f>
        <v>40056744.5938372</v>
      </c>
      <c r="W9" s="18" t="n">
        <f aca="false">Q9*Assumptions!$B$2*Assumptions!$B$10*Assumptions!$B$11*O9/100+Q9*Assumptions!$B$3*Assumptions!$B$12*Assumptions!$B$11*O9/100</f>
        <v>4255806.24934105</v>
      </c>
      <c r="X9" s="18" t="n">
        <f aca="false">S9*Assumptions!$B$9*Assumptions!$B$19</f>
        <v>299648.745082154</v>
      </c>
      <c r="Y9" s="18" t="n">
        <f aca="false">W9+X9</f>
        <v>4555454.9944232</v>
      </c>
      <c r="Z9" s="18" t="n">
        <f aca="false">S9*Assumptions!$B$9</f>
        <v>11985949.8032861</v>
      </c>
      <c r="AA9" s="17" t="n">
        <f aca="false">Q9*Assumptions!$B$13*Assumptions!$B$14*8760/1000</f>
        <v>511.859986349335</v>
      </c>
      <c r="AB9" s="17" t="n">
        <f aca="false">Q9*Assumptions!$B$13*8760*1000*Assumptions!$B$15/1233481.8</f>
        <v>191.525380125406</v>
      </c>
    </row>
    <row r="10" customFormat="false" ht="15" hidden="false" customHeight="false" outlineLevel="0" collapsed="false">
      <c r="A10" s="2" t="s">
        <v>161</v>
      </c>
      <c r="B10" s="2" t="s">
        <v>162</v>
      </c>
      <c r="C10" s="2" t="s">
        <v>163</v>
      </c>
      <c r="D10" s="2" t="s">
        <v>133</v>
      </c>
      <c r="E10" s="2" t="s">
        <v>127</v>
      </c>
      <c r="F10" s="2" t="s">
        <v>164</v>
      </c>
      <c r="G10" s="13" t="n">
        <v>23</v>
      </c>
      <c r="H10" s="13" t="s">
        <v>129</v>
      </c>
      <c r="I10" s="14" t="n">
        <v>176</v>
      </c>
      <c r="J10" s="13" t="n">
        <v>0</v>
      </c>
      <c r="K10" s="13" t="n">
        <v>0</v>
      </c>
      <c r="L10" s="13" t="n">
        <v>0</v>
      </c>
      <c r="M10" s="15" t="n">
        <v>0.007</v>
      </c>
      <c r="N10" s="15" t="n">
        <v>0.035</v>
      </c>
      <c r="O10" s="13" t="n">
        <v>11</v>
      </c>
      <c r="P10" s="16" t="n">
        <f aca="false">IF(H10="operating",I10*Facilities!$Z$118,0)</f>
        <v>58.5979768160656</v>
      </c>
      <c r="Q10" s="16" t="n">
        <f aca="false">IF(H10="operating",P10,IF(OR(H10="under construction",H10="approved/planned",H10="proposed"),I10,0))</f>
        <v>58.5979768160656</v>
      </c>
      <c r="R10" s="16" t="n">
        <f aca="false">Q10</f>
        <v>58.5979768160656</v>
      </c>
      <c r="S10" s="17" t="n">
        <f aca="false">IF(H10="cancelled/withdrawn",0,IF(K10&gt;0,K10,IF(AND(H10="operating",I10&gt;0,I10&lt;=2),MAX(3,Q10*IF(J10=1,Assumptions!$B$6,Assumptions!$B$7)),Q10*IF(J10=1,Assumptions!$B$6,Assumptions!$B$7))))</f>
        <v>117.195953632131</v>
      </c>
      <c r="T10" s="17" t="n">
        <f aca="false">S10*Assumptions!$B$8</f>
        <v>221.500352364728</v>
      </c>
      <c r="U10" s="17" t="n">
        <f aca="false">R10*Assumptions!$B$2/1000000*Assumptions!$B$4</f>
        <v>1655.39284505385</v>
      </c>
      <c r="V10" s="18" t="n">
        <f aca="false">R10*Assumptions!$B$2*Assumptions!$B$18*(Assumptions!$B$17+M10+N10)</f>
        <v>42179409.6919722</v>
      </c>
      <c r="W10" s="18" t="n">
        <f aca="false">Q10*Assumptions!$B$2*Assumptions!$B$10*Assumptions!$B$11*O10/100+Q10*Assumptions!$B$3*Assumptions!$B$12*Assumptions!$B$11*O10/100</f>
        <v>4161232.77713347</v>
      </c>
      <c r="X10" s="18" t="n">
        <f aca="false">S10*Assumptions!$B$9*Assumptions!$B$19</f>
        <v>292989.884080328</v>
      </c>
      <c r="Y10" s="18" t="n">
        <f aca="false">W10+X10</f>
        <v>4454222.6612138</v>
      </c>
      <c r="Z10" s="18" t="n">
        <f aca="false">S10*Assumptions!$B$9</f>
        <v>11719595.3632131</v>
      </c>
      <c r="AA10" s="17" t="n">
        <f aca="false">Q10*Assumptions!$B$13*Assumptions!$B$14*8760/1000</f>
        <v>500.485319986016</v>
      </c>
      <c r="AB10" s="17" t="n">
        <f aca="false">Q10*Assumptions!$B$13*8760*1000*Assumptions!$B$15/1233481.8</f>
        <v>187.269260567064</v>
      </c>
    </row>
    <row r="11" customFormat="false" ht="15" hidden="false" customHeight="false" outlineLevel="0" collapsed="false">
      <c r="A11" s="2" t="s">
        <v>165</v>
      </c>
      <c r="B11" s="2" t="s">
        <v>166</v>
      </c>
      <c r="C11" s="2" t="s">
        <v>167</v>
      </c>
      <c r="D11" s="2" t="s">
        <v>168</v>
      </c>
      <c r="E11" s="2" t="s">
        <v>127</v>
      </c>
      <c r="F11" s="2" t="s">
        <v>169</v>
      </c>
      <c r="G11" s="13" t="n">
        <v>13</v>
      </c>
      <c r="H11" s="13" t="s">
        <v>129</v>
      </c>
      <c r="I11" s="14" t="n">
        <v>169</v>
      </c>
      <c r="J11" s="13" t="n">
        <v>0</v>
      </c>
      <c r="K11" s="13" t="n">
        <v>0</v>
      </c>
      <c r="L11" s="13" t="n">
        <v>0</v>
      </c>
      <c r="M11" s="15" t="n">
        <v>0.007</v>
      </c>
      <c r="N11" s="15" t="n">
        <v>0.015</v>
      </c>
      <c r="O11" s="13" t="n">
        <v>9.37</v>
      </c>
      <c r="P11" s="16" t="n">
        <f aca="false">IF(H11="operating",I11*Facilities!$Z$118,0)</f>
        <v>56.2673754654266</v>
      </c>
      <c r="Q11" s="16" t="n">
        <f aca="false">IF(H11="operating",P11,IF(OR(H11="under construction",H11="approved/planned",H11="proposed"),I11,0))</f>
        <v>56.2673754654266</v>
      </c>
      <c r="R11" s="16" t="n">
        <f aca="false">Q11</f>
        <v>56.2673754654266</v>
      </c>
      <c r="S11" s="17" t="n">
        <f aca="false">IF(H11="cancelled/withdrawn",0,IF(K11&gt;0,K11,IF(AND(H11="operating",I11&gt;0,I11&lt;=2),MAX(3,Q11*IF(J11=1,Assumptions!$B$6,Assumptions!$B$7)),Q11*IF(J11=1,Assumptions!$B$6,Assumptions!$B$7))))</f>
        <v>112.534750930853</v>
      </c>
      <c r="T11" s="17" t="n">
        <f aca="false">S11*Assumptions!$B$8</f>
        <v>212.690679259313</v>
      </c>
      <c r="U11" s="17" t="n">
        <f aca="false">R11*Assumptions!$B$2/1000000*Assumptions!$B$4</f>
        <v>1589.5533568983</v>
      </c>
      <c r="V11" s="18" t="n">
        <f aca="false">R11*Assumptions!$B$2*Assumptions!$B$18*(Assumptions!$B$17+M11+N11)</f>
        <v>32236142.0778976</v>
      </c>
      <c r="W11" s="18" t="n">
        <f aca="false">Q11*Assumptions!$B$2*Assumptions!$B$10*Assumptions!$B$11*O11/100+Q11*Assumptions!$B$3*Assumptions!$B$12*Assumptions!$B$11*O11/100</f>
        <v>3403634.78283789</v>
      </c>
      <c r="X11" s="18" t="n">
        <f aca="false">S11*Assumptions!$B$9*Assumptions!$B$19</f>
        <v>281336.877327133</v>
      </c>
      <c r="Y11" s="18" t="n">
        <f aca="false">W11+X11</f>
        <v>3684971.66016503</v>
      </c>
      <c r="Z11" s="18" t="n">
        <f aca="false">S11*Assumptions!$B$9</f>
        <v>11253475.0930853</v>
      </c>
      <c r="AA11" s="17" t="n">
        <f aca="false">Q11*Assumptions!$B$13*Assumptions!$B$14*8760/1000</f>
        <v>480.579653850209</v>
      </c>
      <c r="AB11" s="17" t="n">
        <f aca="false">Q11*Assumptions!$B$13*8760*1000*Assumptions!$B$15/1233481.8</f>
        <v>179.821051339964</v>
      </c>
    </row>
    <row r="12" customFormat="false" ht="15" hidden="false" customHeight="false" outlineLevel="0" collapsed="false">
      <c r="A12" s="2" t="s">
        <v>170</v>
      </c>
      <c r="B12" s="2" t="s">
        <v>171</v>
      </c>
      <c r="C12" s="2" t="s">
        <v>172</v>
      </c>
      <c r="D12" s="2" t="s">
        <v>126</v>
      </c>
      <c r="E12" s="2" t="s">
        <v>127</v>
      </c>
      <c r="F12" s="2" t="s">
        <v>173</v>
      </c>
      <c r="G12" s="13" t="n">
        <v>15</v>
      </c>
      <c r="H12" s="13" t="s">
        <v>129</v>
      </c>
      <c r="I12" s="14" t="n">
        <v>159</v>
      </c>
      <c r="J12" s="13" t="n">
        <v>1</v>
      </c>
      <c r="K12" s="13" t="n">
        <v>150</v>
      </c>
      <c r="L12" s="13" t="n">
        <v>0</v>
      </c>
      <c r="M12" s="15" t="n">
        <v>0.007</v>
      </c>
      <c r="N12" s="15" t="n">
        <v>0.02</v>
      </c>
      <c r="O12" s="13" t="n">
        <v>9.3</v>
      </c>
      <c r="P12" s="16" t="n">
        <f aca="false">IF(H12="operating",I12*Facilities!$Z$118,0)</f>
        <v>52.9379449645138</v>
      </c>
      <c r="Q12" s="16" t="n">
        <f aca="false">IF(H12="operating",P12,IF(OR(H12="under construction",H12="approved/planned",H12="proposed"),I12,0))</f>
        <v>52.9379449645138</v>
      </c>
      <c r="R12" s="16" t="n">
        <f aca="false">Q12</f>
        <v>52.9379449645138</v>
      </c>
      <c r="S12" s="17" t="n">
        <f aca="false">IF(H12="cancelled/withdrawn",0,IF(K12&gt;0,K12,IF(AND(H12="operating",I12&gt;0,I12&lt;=2),MAX(3,Q12*IF(J12=1,Assumptions!$B$6,Assumptions!$B$7)),Q12*IF(J12=1,Assumptions!$B$6,Assumptions!$B$7))))</f>
        <v>150</v>
      </c>
      <c r="T12" s="17" t="n">
        <f aca="false">S12*Assumptions!$B$8</f>
        <v>283.5</v>
      </c>
      <c r="U12" s="17" t="n">
        <f aca="false">R12*Assumptions!$B$2/1000000*Assumptions!$B$4</f>
        <v>1495.49694524752</v>
      </c>
      <c r="V12" s="18" t="n">
        <f aca="false">R12*Assumptions!$B$2*Assumptions!$B$18*(Assumptions!$B$17+M12+N12)</f>
        <v>32272824.0784414</v>
      </c>
      <c r="W12" s="18" t="n">
        <f aca="false">Q12*Assumptions!$B$2*Assumptions!$B$10*Assumptions!$B$11*O12/100+Q12*Assumptions!$B$3*Assumptions!$B$12*Assumptions!$B$11*O12/100</f>
        <v>3178313.48530334</v>
      </c>
      <c r="X12" s="18" t="n">
        <f aca="false">S12*Assumptions!$B$9*Assumptions!$B$19</f>
        <v>375000</v>
      </c>
      <c r="Y12" s="18" t="n">
        <f aca="false">W12+X12</f>
        <v>3553313.48530334</v>
      </c>
      <c r="Z12" s="18" t="n">
        <f aca="false">S12*Assumptions!$B$9</f>
        <v>15000000</v>
      </c>
      <c r="AA12" s="17" t="n">
        <f aca="false">Q12*Assumptions!$B$13*Assumptions!$B$14*8760/1000</f>
        <v>452.142987941913</v>
      </c>
      <c r="AB12" s="17" t="n">
        <f aca="false">Q12*Assumptions!$B$13*8760*1000*Assumptions!$B$15/1233481.8</f>
        <v>169.180752444109</v>
      </c>
    </row>
    <row r="13" customFormat="false" ht="15" hidden="false" customHeight="false" outlineLevel="0" collapsed="false">
      <c r="A13" s="2" t="s">
        <v>174</v>
      </c>
      <c r="B13" s="2" t="s">
        <v>175</v>
      </c>
      <c r="C13" s="2" t="s">
        <v>176</v>
      </c>
      <c r="D13" s="2" t="s">
        <v>126</v>
      </c>
      <c r="E13" s="2" t="s">
        <v>127</v>
      </c>
      <c r="F13" s="2" t="s">
        <v>177</v>
      </c>
      <c r="G13" s="13" t="n">
        <v>15</v>
      </c>
      <c r="H13" s="13" t="s">
        <v>129</v>
      </c>
      <c r="I13" s="14" t="n">
        <v>150</v>
      </c>
      <c r="J13" s="13" t="n">
        <v>1</v>
      </c>
      <c r="K13" s="13" t="n">
        <v>0</v>
      </c>
      <c r="L13" s="13" t="n">
        <v>0</v>
      </c>
      <c r="M13" s="15" t="n">
        <v>0.007</v>
      </c>
      <c r="N13" s="15" t="n">
        <v>0.02</v>
      </c>
      <c r="O13" s="13" t="n">
        <v>9.3</v>
      </c>
      <c r="P13" s="16" t="n">
        <f aca="false">IF(H13="operating",I13*Facilities!$Z$118,0)</f>
        <v>49.9414575136923</v>
      </c>
      <c r="Q13" s="16" t="n">
        <f aca="false">IF(H13="operating",P13,IF(OR(H13="under construction",H13="approved/planned",H13="proposed"),I13,0))</f>
        <v>49.9414575136923</v>
      </c>
      <c r="R13" s="16" t="n">
        <f aca="false">Q13</f>
        <v>49.9414575136923</v>
      </c>
      <c r="S13" s="17" t="n">
        <f aca="false">IF(H13="cancelled/withdrawn",0,IF(K13&gt;0,K13,IF(AND(H13="operating",I13&gt;0,I13&lt;=2),MAX(3,Q13*IF(J13=1,Assumptions!$B$6,Assumptions!$B$7)),Q13*IF(J13=1,Assumptions!$B$6,Assumptions!$B$7))))</f>
        <v>29.9648745082154</v>
      </c>
      <c r="T13" s="17" t="n">
        <f aca="false">S13*Assumptions!$B$8</f>
        <v>56.6336128205271</v>
      </c>
      <c r="U13" s="17" t="n">
        <f aca="false">R13*Assumptions!$B$2/1000000*Assumptions!$B$4</f>
        <v>1410.84617476181</v>
      </c>
      <c r="V13" s="18" t="n">
        <f aca="false">R13*Assumptions!$B$2*Assumptions!$B$18*(Assumptions!$B$17+M13+N13)</f>
        <v>30446060.4513598</v>
      </c>
      <c r="W13" s="18" t="n">
        <f aca="false">Q13*Assumptions!$B$2*Assumptions!$B$10*Assumptions!$B$11*O13/100+Q13*Assumptions!$B$3*Assumptions!$B$12*Assumptions!$B$11*O13/100</f>
        <v>2998408.94839938</v>
      </c>
      <c r="X13" s="18" t="n">
        <f aca="false">S13*Assumptions!$B$9*Assumptions!$B$19</f>
        <v>74912.1862705384</v>
      </c>
      <c r="Y13" s="18" t="n">
        <f aca="false">W13+X13</f>
        <v>3073321.13466991</v>
      </c>
      <c r="Z13" s="18" t="n">
        <f aca="false">S13*Assumptions!$B$9</f>
        <v>2996487.45082154</v>
      </c>
      <c r="AA13" s="17" t="n">
        <f aca="false">Q13*Assumptions!$B$13*Assumptions!$B$14*8760/1000</f>
        <v>426.549988624446</v>
      </c>
      <c r="AB13" s="17" t="n">
        <f aca="false">Q13*Assumptions!$B$13*8760*1000*Assumptions!$B$15/1233481.8</f>
        <v>159.604483437838</v>
      </c>
    </row>
    <row r="14" customFormat="false" ht="15" hidden="false" customHeight="false" outlineLevel="0" collapsed="false">
      <c r="A14" s="2" t="s">
        <v>178</v>
      </c>
      <c r="B14" s="2" t="s">
        <v>179</v>
      </c>
      <c r="C14" s="2" t="s">
        <v>159</v>
      </c>
      <c r="D14" s="2" t="s">
        <v>168</v>
      </c>
      <c r="E14" s="2" t="s">
        <v>127</v>
      </c>
      <c r="F14" s="2" t="s">
        <v>180</v>
      </c>
      <c r="G14" s="13" t="n">
        <v>13</v>
      </c>
      <c r="H14" s="13" t="s">
        <v>129</v>
      </c>
      <c r="I14" s="14" t="n">
        <v>142</v>
      </c>
      <c r="J14" s="13" t="n">
        <v>0</v>
      </c>
      <c r="K14" s="13" t="n">
        <v>0</v>
      </c>
      <c r="L14" s="13" t="n">
        <v>0</v>
      </c>
      <c r="M14" s="15" t="n">
        <v>0.007</v>
      </c>
      <c r="N14" s="15" t="n">
        <v>0.015</v>
      </c>
      <c r="O14" s="13" t="n">
        <v>9.37</v>
      </c>
      <c r="P14" s="16" t="n">
        <f aca="false">IF(H14="operating",I14*Facilities!$Z$118,0)</f>
        <v>47.277913112962</v>
      </c>
      <c r="Q14" s="16" t="n">
        <f aca="false">IF(H14="operating",P14,IF(OR(H14="under construction",H14="approved/planned",H14="proposed"),I14,0))</f>
        <v>47.277913112962</v>
      </c>
      <c r="R14" s="16" t="n">
        <f aca="false">Q14</f>
        <v>47.277913112962</v>
      </c>
      <c r="S14" s="17" t="n">
        <f aca="false">IF(H14="cancelled/withdrawn",0,IF(K14&gt;0,K14,IF(AND(H14="operating",I14&gt;0,I14&lt;=2),MAX(3,Q14*IF(J14=1,Assumptions!$B$6,Assumptions!$B$7)),Q14*IF(J14=1,Assumptions!$B$6,Assumptions!$B$7))))</f>
        <v>94.5558262259241</v>
      </c>
      <c r="T14" s="17" t="n">
        <f aca="false">S14*Assumptions!$B$8</f>
        <v>178.710511566996</v>
      </c>
      <c r="U14" s="17" t="n">
        <f aca="false">R14*Assumptions!$B$2/1000000*Assumptions!$B$4</f>
        <v>1335.60104544118</v>
      </c>
      <c r="V14" s="18" t="n">
        <f aca="false">R14*Assumptions!$B$2*Assumptions!$B$18*(Assumptions!$B$17+M14+N14)</f>
        <v>27085989.2015471</v>
      </c>
      <c r="W14" s="18" t="n">
        <f aca="false">Q14*Assumptions!$B$2*Assumptions!$B$10*Assumptions!$B$11*O14/100+Q14*Assumptions!$B$3*Assumptions!$B$12*Assumptions!$B$11*O14/100</f>
        <v>2859858.81161527</v>
      </c>
      <c r="X14" s="18" t="n">
        <f aca="false">S14*Assumptions!$B$9*Assumptions!$B$19</f>
        <v>236389.56556481</v>
      </c>
      <c r="Y14" s="18" t="n">
        <f aca="false">W14+X14</f>
        <v>3096248.37718008</v>
      </c>
      <c r="Z14" s="18" t="n">
        <f aca="false">S14*Assumptions!$B$9</f>
        <v>9455582.6225924</v>
      </c>
      <c r="AA14" s="17" t="n">
        <f aca="false">Q14*Assumptions!$B$13*Assumptions!$B$14*8760/1000</f>
        <v>403.800655897809</v>
      </c>
      <c r="AB14" s="17" t="n">
        <f aca="false">Q14*Assumptions!$B$13*8760*1000*Assumptions!$B$15/1233481.8</f>
        <v>151.092244321154</v>
      </c>
    </row>
    <row r="15" customFormat="false" ht="15" hidden="false" customHeight="false" outlineLevel="0" collapsed="false">
      <c r="A15" s="2" t="s">
        <v>181</v>
      </c>
      <c r="B15" s="2" t="s">
        <v>182</v>
      </c>
      <c r="C15" s="2" t="s">
        <v>183</v>
      </c>
      <c r="D15" s="2" t="s">
        <v>155</v>
      </c>
      <c r="E15" s="2" t="s">
        <v>127</v>
      </c>
      <c r="F15" s="2" t="s">
        <v>184</v>
      </c>
      <c r="G15" s="13" t="n">
        <v>8</v>
      </c>
      <c r="H15" s="13" t="s">
        <v>129</v>
      </c>
      <c r="I15" s="14" t="n">
        <v>125</v>
      </c>
      <c r="J15" s="13" t="n">
        <v>0</v>
      </c>
      <c r="K15" s="13" t="n">
        <v>0</v>
      </c>
      <c r="L15" s="13" t="n">
        <v>0</v>
      </c>
      <c r="M15" s="15" t="n">
        <v>0.007</v>
      </c>
      <c r="N15" s="15" t="n">
        <v>0.028</v>
      </c>
      <c r="O15" s="13" t="n">
        <v>11</v>
      </c>
      <c r="P15" s="16" t="n">
        <f aca="false">IF(H15="operating",I15*Facilities!$Z$118,0)</f>
        <v>41.6178812614102</v>
      </c>
      <c r="Q15" s="16" t="n">
        <f aca="false">IF(H15="operating",P15,IF(OR(H15="under construction",H15="approved/planned",H15="proposed"),I15,0))</f>
        <v>41.6178812614102</v>
      </c>
      <c r="R15" s="16" t="n">
        <f aca="false">Q15</f>
        <v>41.6178812614102</v>
      </c>
      <c r="S15" s="17" t="n">
        <f aca="false">IF(H15="cancelled/withdrawn",0,IF(K15&gt;0,K15,IF(AND(H15="operating",I15&gt;0,I15&lt;=2),MAX(3,Q15*IF(J15=1,Assumptions!$B$6,Assumptions!$B$7)),Q15*IF(J15=1,Assumptions!$B$6,Assumptions!$B$7))))</f>
        <v>83.2357625228205</v>
      </c>
      <c r="T15" s="17" t="n">
        <f aca="false">S15*Assumptions!$B$8</f>
        <v>157.315591168131</v>
      </c>
      <c r="U15" s="17" t="n">
        <f aca="false">R15*Assumptions!$B$2/1000000*Assumptions!$B$4</f>
        <v>1175.70514563484</v>
      </c>
      <c r="V15" s="18" t="n">
        <f aca="false">R15*Assumptions!$B$2*Assumptions!$B$18*(Assumptions!$B$17+M15+N15)</f>
        <v>27817183.7457203</v>
      </c>
      <c r="W15" s="18" t="n">
        <f aca="false">Q15*Assumptions!$B$2*Assumptions!$B$10*Assumptions!$B$11*O15/100+Q15*Assumptions!$B$3*Assumptions!$B$12*Assumptions!$B$11*O15/100</f>
        <v>2955421.00648684</v>
      </c>
      <c r="X15" s="18" t="n">
        <f aca="false">S15*Assumptions!$B$9*Assumptions!$B$19</f>
        <v>208089.406307051</v>
      </c>
      <c r="Y15" s="18" t="n">
        <f aca="false">W15+X15</f>
        <v>3163510.41279389</v>
      </c>
      <c r="Z15" s="18" t="n">
        <f aca="false">S15*Assumptions!$B$9</f>
        <v>8323576.25228205</v>
      </c>
      <c r="AA15" s="17" t="n">
        <f aca="false">Q15*Assumptions!$B$13*Assumptions!$B$14*8760/1000</f>
        <v>355.458323853705</v>
      </c>
      <c r="AB15" s="17" t="n">
        <f aca="false">Q15*Assumptions!$B$13*8760*1000*Assumptions!$B$15/1233481.8</f>
        <v>133.003736198199</v>
      </c>
    </row>
    <row r="16" customFormat="false" ht="15" hidden="false" customHeight="false" outlineLevel="0" collapsed="false">
      <c r="A16" s="2" t="s">
        <v>185</v>
      </c>
      <c r="B16" s="2" t="s">
        <v>186</v>
      </c>
      <c r="C16" s="2" t="s">
        <v>187</v>
      </c>
      <c r="D16" s="2" t="s">
        <v>126</v>
      </c>
      <c r="E16" s="2" t="s">
        <v>127</v>
      </c>
      <c r="F16" s="2" t="s">
        <v>188</v>
      </c>
      <c r="G16" s="13" t="n">
        <v>15</v>
      </c>
      <c r="H16" s="13" t="s">
        <v>129</v>
      </c>
      <c r="I16" s="14" t="n">
        <v>79</v>
      </c>
      <c r="J16" s="13" t="n">
        <v>1</v>
      </c>
      <c r="K16" s="13" t="n">
        <v>200</v>
      </c>
      <c r="L16" s="13" t="n">
        <v>2000</v>
      </c>
      <c r="M16" s="15" t="n">
        <v>0.007</v>
      </c>
      <c r="N16" s="15" t="n">
        <v>0.02</v>
      </c>
      <c r="O16" s="13" t="n">
        <v>9.3</v>
      </c>
      <c r="P16" s="16" t="n">
        <f aca="false">IF(H16="operating",I16*Facilities!$Z$118,0)</f>
        <v>26.3025009572113</v>
      </c>
      <c r="Q16" s="16" t="n">
        <f aca="false">IF(H16="operating",P16,IF(OR(H16="under construction",H16="approved/planned",H16="proposed"),I16,0))</f>
        <v>26.3025009572113</v>
      </c>
      <c r="R16" s="16" t="n">
        <f aca="false">Q16</f>
        <v>26.3025009572113</v>
      </c>
      <c r="S16" s="17" t="n">
        <f aca="false">IF(H16="cancelled/withdrawn",0,IF(K16&gt;0,K16,IF(AND(H16="operating",I16&gt;0,I16&lt;=2),MAX(3,Q16*IF(J16=1,Assumptions!$B$6,Assumptions!$B$7)),Q16*IF(J16=1,Assumptions!$B$6,Assumptions!$B$7))))</f>
        <v>200</v>
      </c>
      <c r="T16" s="17" t="n">
        <f aca="false">S16*Assumptions!$B$8</f>
        <v>378</v>
      </c>
      <c r="U16" s="17" t="n">
        <f aca="false">R16*Assumptions!$B$2/1000000*Assumptions!$B$4</f>
        <v>743.045652041218</v>
      </c>
      <c r="V16" s="18" t="n">
        <f aca="false">R16*Assumptions!$B$2*Assumptions!$B$18*(Assumptions!$B$17+M16+N16)</f>
        <v>16034925.1710495</v>
      </c>
      <c r="W16" s="18" t="n">
        <f aca="false">Q16*Assumptions!$B$2*Assumptions!$B$10*Assumptions!$B$11*O16/100+Q16*Assumptions!$B$3*Assumptions!$B$12*Assumptions!$B$11*O16/100</f>
        <v>1579162.046157</v>
      </c>
      <c r="X16" s="18" t="n">
        <f aca="false">S16*Assumptions!$B$9*Assumptions!$B$19</f>
        <v>500000</v>
      </c>
      <c r="Y16" s="18" t="n">
        <f aca="false">W16+X16</f>
        <v>2079162.046157</v>
      </c>
      <c r="Z16" s="18" t="n">
        <f aca="false">S16*Assumptions!$B$9</f>
        <v>20000000</v>
      </c>
      <c r="AA16" s="17" t="n">
        <f aca="false">Q16*Assumptions!$B$13*Assumptions!$B$14*8760/1000</f>
        <v>224.649660675541</v>
      </c>
      <c r="AB16" s="17" t="n">
        <f aca="false">Q16*Assumptions!$B$13*8760*1000*Assumptions!$B$15/1233481.8</f>
        <v>84.0583612772615</v>
      </c>
    </row>
    <row r="17" customFormat="false" ht="15" hidden="false" customHeight="false" outlineLevel="0" collapsed="false">
      <c r="A17" s="2" t="s">
        <v>189</v>
      </c>
      <c r="B17" s="2" t="s">
        <v>190</v>
      </c>
      <c r="C17" s="2" t="s">
        <v>191</v>
      </c>
      <c r="D17" s="2" t="s">
        <v>168</v>
      </c>
      <c r="E17" s="2" t="s">
        <v>127</v>
      </c>
      <c r="F17" s="2" t="s">
        <v>192</v>
      </c>
      <c r="G17" s="13" t="n">
        <v>13</v>
      </c>
      <c r="H17" s="13" t="s">
        <v>129</v>
      </c>
      <c r="I17" s="14" t="n">
        <v>54</v>
      </c>
      <c r="J17" s="13" t="n">
        <v>0</v>
      </c>
      <c r="K17" s="13" t="n">
        <v>0</v>
      </c>
      <c r="L17" s="13" t="n">
        <v>0</v>
      </c>
      <c r="M17" s="15" t="n">
        <v>0.007</v>
      </c>
      <c r="N17" s="15" t="n">
        <v>0.015</v>
      </c>
      <c r="O17" s="13" t="n">
        <v>9.37</v>
      </c>
      <c r="P17" s="16" t="n">
        <f aca="false">IF(H17="operating",I17*Facilities!$Z$118,0)</f>
        <v>17.9789247049292</v>
      </c>
      <c r="Q17" s="16" t="n">
        <f aca="false">IF(H17="operating",P17,IF(OR(H17="under construction",H17="approved/planned",H17="proposed"),I17,0))</f>
        <v>17.9789247049292</v>
      </c>
      <c r="R17" s="16" t="n">
        <f aca="false">Q17</f>
        <v>17.9789247049292</v>
      </c>
      <c r="S17" s="17" t="n">
        <f aca="false">IF(H17="cancelled/withdrawn",0,IF(K17&gt;0,K17,IF(AND(H17="operating",I17&gt;0,I17&lt;=2),MAX(3,Q17*IF(J17=1,Assumptions!$B$6,Assumptions!$B$7)),Q17*IF(J17=1,Assumptions!$B$6,Assumptions!$B$7))))</f>
        <v>35.9578494098585</v>
      </c>
      <c r="T17" s="17" t="n">
        <f aca="false">S17*Assumptions!$B$8</f>
        <v>67.9603353846325</v>
      </c>
      <c r="U17" s="17" t="n">
        <f aca="false">R17*Assumptions!$B$2/1000000*Assumptions!$B$4</f>
        <v>507.904622914251</v>
      </c>
      <c r="V17" s="18" t="n">
        <f aca="false">R17*Assumptions!$B$2*Assumptions!$B$18*(Assumptions!$B$17+M17+N17)</f>
        <v>10300305.752701</v>
      </c>
      <c r="W17" s="18" t="n">
        <f aca="false">Q17*Assumptions!$B$2*Assumptions!$B$10*Assumptions!$B$11*O17/100+Q17*Assumptions!$B$3*Assumptions!$B$12*Assumptions!$B$11*O17/100</f>
        <v>1087551.94244524</v>
      </c>
      <c r="X17" s="18" t="n">
        <f aca="false">S17*Assumptions!$B$9*Assumptions!$B$19</f>
        <v>89894.6235246461</v>
      </c>
      <c r="Y17" s="18" t="n">
        <f aca="false">W17+X17</f>
        <v>1177446.56596989</v>
      </c>
      <c r="Z17" s="18" t="n">
        <f aca="false">S17*Assumptions!$B$9</f>
        <v>3595784.94098585</v>
      </c>
      <c r="AA17" s="17" t="n">
        <f aca="false">Q17*Assumptions!$B$13*Assumptions!$B$14*8760/1000</f>
        <v>153.557995904801</v>
      </c>
      <c r="AB17" s="17" t="n">
        <f aca="false">Q17*Assumptions!$B$13*8760*1000*Assumptions!$B$15/1233481.8</f>
        <v>57.4576140376218</v>
      </c>
    </row>
    <row r="18" customFormat="false" ht="15" hidden="false" customHeight="false" outlineLevel="0" collapsed="false">
      <c r="A18" s="2" t="s">
        <v>193</v>
      </c>
      <c r="B18" s="2" t="s">
        <v>194</v>
      </c>
      <c r="C18" s="2" t="s">
        <v>195</v>
      </c>
      <c r="D18" s="2" t="s">
        <v>126</v>
      </c>
      <c r="E18" s="2" t="s">
        <v>127</v>
      </c>
      <c r="F18" s="2" t="s">
        <v>196</v>
      </c>
      <c r="G18" s="13" t="n">
        <v>9</v>
      </c>
      <c r="H18" s="13" t="s">
        <v>129</v>
      </c>
      <c r="I18" s="14" t="n">
        <v>36</v>
      </c>
      <c r="J18" s="13" t="n">
        <v>0</v>
      </c>
      <c r="K18" s="13" t="n">
        <v>0</v>
      </c>
      <c r="L18" s="13" t="n">
        <v>0</v>
      </c>
      <c r="M18" s="15" t="n">
        <v>0.007</v>
      </c>
      <c r="N18" s="15" t="n">
        <v>0.02</v>
      </c>
      <c r="O18" s="13" t="n">
        <v>9.3</v>
      </c>
      <c r="P18" s="16" t="n">
        <f aca="false">IF(H18="operating",I18*Facilities!$Z$118,0)</f>
        <v>11.9859498032861</v>
      </c>
      <c r="Q18" s="16" t="n">
        <f aca="false">IF(H18="operating",P18,IF(OR(H18="under construction",H18="approved/planned",H18="proposed"),I18,0))</f>
        <v>11.9859498032861</v>
      </c>
      <c r="R18" s="16" t="n">
        <f aca="false">Q18</f>
        <v>11.9859498032861</v>
      </c>
      <c r="S18" s="17" t="n">
        <f aca="false">IF(H18="cancelled/withdrawn",0,IF(K18&gt;0,K18,IF(AND(H18="operating",I18&gt;0,I18&lt;=2),MAX(3,Q18*IF(J18=1,Assumptions!$B$6,Assumptions!$B$7)),Q18*IF(J18=1,Assumptions!$B$6,Assumptions!$B$7))))</f>
        <v>23.9718996065723</v>
      </c>
      <c r="T18" s="17" t="n">
        <f aca="false">S18*Assumptions!$B$8</f>
        <v>45.3068902564216</v>
      </c>
      <c r="U18" s="17" t="n">
        <f aca="false">R18*Assumptions!$B$2/1000000*Assumptions!$B$4</f>
        <v>338.603081942834</v>
      </c>
      <c r="V18" s="18" t="n">
        <f aca="false">R18*Assumptions!$B$2*Assumptions!$B$18*(Assumptions!$B$17+M18+N18)</f>
        <v>7307054.50832635</v>
      </c>
      <c r="W18" s="18" t="n">
        <f aca="false">Q18*Assumptions!$B$2*Assumptions!$B$10*Assumptions!$B$11*O18/100+Q18*Assumptions!$B$3*Assumptions!$B$12*Assumptions!$B$11*O18/100</f>
        <v>719618.14761585</v>
      </c>
      <c r="X18" s="18" t="n">
        <f aca="false">S18*Assumptions!$B$9*Assumptions!$B$19</f>
        <v>59929.7490164307</v>
      </c>
      <c r="Y18" s="18" t="n">
        <f aca="false">W18+X18</f>
        <v>779547.896632281</v>
      </c>
      <c r="Z18" s="18" t="n">
        <f aca="false">S18*Assumptions!$B$9</f>
        <v>2397189.96065723</v>
      </c>
      <c r="AA18" s="17" t="n">
        <f aca="false">Q18*Assumptions!$B$13*Assumptions!$B$14*8760/1000</f>
        <v>102.371997269867</v>
      </c>
      <c r="AB18" s="17" t="n">
        <f aca="false">Q18*Assumptions!$B$13*8760*1000*Assumptions!$B$15/1233481.8</f>
        <v>38.3050760250812</v>
      </c>
    </row>
    <row r="19" customFormat="false" ht="15" hidden="false" customHeight="false" outlineLevel="0" collapsed="false">
      <c r="A19" s="2" t="s">
        <v>197</v>
      </c>
      <c r="B19" s="2" t="s">
        <v>198</v>
      </c>
      <c r="C19" s="2" t="s">
        <v>191</v>
      </c>
      <c r="D19" s="2" t="s">
        <v>199</v>
      </c>
      <c r="E19" s="2" t="s">
        <v>127</v>
      </c>
      <c r="F19" s="2" t="s">
        <v>200</v>
      </c>
      <c r="G19" s="13" t="n">
        <v>12</v>
      </c>
      <c r="H19" s="13" t="s">
        <v>129</v>
      </c>
      <c r="I19" s="14" t="n">
        <v>33.8</v>
      </c>
      <c r="J19" s="13" t="n">
        <v>0</v>
      </c>
      <c r="K19" s="13" t="n">
        <v>0</v>
      </c>
      <c r="L19" s="13" t="n">
        <v>0</v>
      </c>
      <c r="M19" s="15" t="n">
        <v>0.007</v>
      </c>
      <c r="N19" s="15" t="n">
        <v>0.018</v>
      </c>
      <c r="O19" s="13" t="n">
        <v>10.5</v>
      </c>
      <c r="P19" s="16" t="n">
        <f aca="false">IF(H19="operating",I19*Facilities!$Z$118,0)</f>
        <v>11.2534750930853</v>
      </c>
      <c r="Q19" s="16" t="n">
        <f aca="false">IF(H19="operating",P19,IF(OR(H19="under construction",H19="approved/planned",H19="proposed"),I19,0))</f>
        <v>11.2534750930853</v>
      </c>
      <c r="R19" s="16" t="n">
        <f aca="false">Q19</f>
        <v>11.2534750930853</v>
      </c>
      <c r="S19" s="17" t="n">
        <f aca="false">IF(H19="cancelled/withdrawn",0,IF(K19&gt;0,K19,IF(AND(H19="operating",I19&gt;0,I19&lt;=2),MAX(3,Q19*IF(J19=1,Assumptions!$B$6,Assumptions!$B$7)),Q19*IF(J19=1,Assumptions!$B$6,Assumptions!$B$7))))</f>
        <v>22.5069501861707</v>
      </c>
      <c r="T19" s="17" t="n">
        <f aca="false">S19*Assumptions!$B$8</f>
        <v>42.5381358518625</v>
      </c>
      <c r="U19" s="17" t="n">
        <f aca="false">R19*Assumptions!$B$2/1000000*Assumptions!$B$4</f>
        <v>317.910671379661</v>
      </c>
      <c r="V19" s="18" t="n">
        <f aca="false">R19*Assumptions!$B$2*Assumptions!$B$18*(Assumptions!$B$17+M19+N19)</f>
        <v>6695198.73925565</v>
      </c>
      <c r="W19" s="18" t="n">
        <f aca="false">Q19*Assumptions!$B$2*Assumptions!$B$10*Assumptions!$B$11*O19/100+Q19*Assumptions!$B$3*Assumptions!$B$12*Assumptions!$B$11*O19/100</f>
        <v>762821.029237949</v>
      </c>
      <c r="X19" s="18" t="n">
        <f aca="false">S19*Assumptions!$B$9*Assumptions!$B$19</f>
        <v>56267.3754654266</v>
      </c>
      <c r="Y19" s="18" t="n">
        <f aca="false">W19+X19</f>
        <v>819088.404703375</v>
      </c>
      <c r="Z19" s="18" t="n">
        <f aca="false">S19*Assumptions!$B$9</f>
        <v>2250695.01861707</v>
      </c>
      <c r="AA19" s="17" t="n">
        <f aca="false">Q19*Assumptions!$B$13*Assumptions!$B$14*8760/1000</f>
        <v>96.1159307700418</v>
      </c>
      <c r="AB19" s="17" t="n">
        <f aca="false">Q19*Assumptions!$B$13*8760*1000*Assumptions!$B$15/1233481.8</f>
        <v>35.9642102679929</v>
      </c>
    </row>
    <row r="20" customFormat="false" ht="15" hidden="false" customHeight="false" outlineLevel="0" collapsed="false">
      <c r="A20" s="2" t="s">
        <v>201</v>
      </c>
      <c r="B20" s="2" t="s">
        <v>202</v>
      </c>
      <c r="C20" s="2" t="s">
        <v>191</v>
      </c>
      <c r="D20" s="2" t="s">
        <v>155</v>
      </c>
      <c r="E20" s="2" t="s">
        <v>127</v>
      </c>
      <c r="F20" s="2" t="s">
        <v>203</v>
      </c>
      <c r="G20" s="13" t="n">
        <v>5</v>
      </c>
      <c r="H20" s="13" t="s">
        <v>129</v>
      </c>
      <c r="I20" s="14" t="n">
        <v>32</v>
      </c>
      <c r="J20" s="13" t="n">
        <v>0</v>
      </c>
      <c r="K20" s="13" t="n">
        <v>0</v>
      </c>
      <c r="L20" s="13" t="n">
        <v>0</v>
      </c>
      <c r="M20" s="15" t="n">
        <v>0.007</v>
      </c>
      <c r="N20" s="15" t="n">
        <v>0.028</v>
      </c>
      <c r="O20" s="13" t="n">
        <v>11</v>
      </c>
      <c r="P20" s="16" t="n">
        <f aca="false">IF(H20="operating",I20*Facilities!$Z$118,0)</f>
        <v>10.654177602921</v>
      </c>
      <c r="Q20" s="16" t="n">
        <f aca="false">IF(H20="operating",P20,IF(OR(H20="under construction",H20="approved/planned",H20="proposed"),I20,0))</f>
        <v>10.654177602921</v>
      </c>
      <c r="R20" s="16" t="n">
        <f aca="false">Q20</f>
        <v>10.654177602921</v>
      </c>
      <c r="S20" s="17" t="n">
        <f aca="false">IF(H20="cancelled/withdrawn",0,IF(K20&gt;0,K20,IF(AND(H20="operating",I20&gt;0,I20&lt;=2),MAX(3,Q20*IF(J20=1,Assumptions!$B$6,Assumptions!$B$7)),Q20*IF(J20=1,Assumptions!$B$6,Assumptions!$B$7))))</f>
        <v>21.308355205842</v>
      </c>
      <c r="T20" s="17" t="n">
        <f aca="false">S20*Assumptions!$B$8</f>
        <v>40.2727913390415</v>
      </c>
      <c r="U20" s="17" t="n">
        <f aca="false">R20*Assumptions!$B$2/1000000*Assumptions!$B$4</f>
        <v>300.980517282519</v>
      </c>
      <c r="V20" s="18" t="n">
        <f aca="false">R20*Assumptions!$B$2*Assumptions!$B$18*(Assumptions!$B$17+M20+N20)</f>
        <v>7121199.0389044</v>
      </c>
      <c r="W20" s="18" t="n">
        <f aca="false">Q20*Assumptions!$B$2*Assumptions!$B$10*Assumptions!$B$11*O20/100+Q20*Assumptions!$B$3*Assumptions!$B$12*Assumptions!$B$11*O20/100</f>
        <v>756587.777660631</v>
      </c>
      <c r="X20" s="18" t="n">
        <f aca="false">S20*Assumptions!$B$9*Assumptions!$B$19</f>
        <v>53270.8880146051</v>
      </c>
      <c r="Y20" s="18" t="n">
        <f aca="false">W20+X20</f>
        <v>809858.665675236</v>
      </c>
      <c r="Z20" s="18" t="n">
        <f aca="false">S20*Assumptions!$B$9</f>
        <v>2130835.5205842</v>
      </c>
      <c r="AA20" s="17" t="n">
        <f aca="false">Q20*Assumptions!$B$13*Assumptions!$B$14*8760/1000</f>
        <v>90.9973309065484</v>
      </c>
      <c r="AB20" s="17" t="n">
        <f aca="false">Q20*Assumptions!$B$13*8760*1000*Assumptions!$B$15/1233481.8</f>
        <v>34.0489564667388</v>
      </c>
    </row>
    <row r="21" customFormat="false" ht="15" hidden="false" customHeight="false" outlineLevel="0" collapsed="false">
      <c r="A21" s="2" t="s">
        <v>204</v>
      </c>
      <c r="B21" s="2" t="s">
        <v>205</v>
      </c>
      <c r="C21" s="2" t="s">
        <v>206</v>
      </c>
      <c r="D21" s="2" t="s">
        <v>168</v>
      </c>
      <c r="E21" s="2" t="s">
        <v>127</v>
      </c>
      <c r="F21" s="2" t="s">
        <v>207</v>
      </c>
      <c r="G21" s="13" t="n">
        <v>13</v>
      </c>
      <c r="H21" s="13" t="s">
        <v>129</v>
      </c>
      <c r="I21" s="14" t="n">
        <v>28</v>
      </c>
      <c r="J21" s="13" t="n">
        <v>0</v>
      </c>
      <c r="K21" s="13" t="n">
        <v>0</v>
      </c>
      <c r="L21" s="13" t="n">
        <v>0</v>
      </c>
      <c r="M21" s="15" t="n">
        <v>0.007</v>
      </c>
      <c r="N21" s="15" t="n">
        <v>0.015</v>
      </c>
      <c r="O21" s="13" t="n">
        <v>9.37</v>
      </c>
      <c r="P21" s="16" t="n">
        <f aca="false">IF(H21="operating",I21*Facilities!$Z$118,0)</f>
        <v>9.32240540255589</v>
      </c>
      <c r="Q21" s="16" t="n">
        <f aca="false">IF(H21="operating",P21,IF(OR(H21="under construction",H21="approved/planned",H21="proposed"),I21,0))</f>
        <v>9.32240540255589</v>
      </c>
      <c r="R21" s="16" t="n">
        <f aca="false">Q21</f>
        <v>9.32240540255589</v>
      </c>
      <c r="S21" s="17" t="n">
        <f aca="false">IF(H21="cancelled/withdrawn",0,IF(K21&gt;0,K21,IF(AND(H21="operating",I21&gt;0,I21&lt;=2),MAX(3,Q21*IF(J21=1,Assumptions!$B$6,Assumptions!$B$7)),Q21*IF(J21=1,Assumptions!$B$6,Assumptions!$B$7))))</f>
        <v>18.6448108051118</v>
      </c>
      <c r="T21" s="17" t="n">
        <f aca="false">S21*Assumptions!$B$8</f>
        <v>35.2386924216613</v>
      </c>
      <c r="U21" s="17" t="n">
        <f aca="false">R21*Assumptions!$B$2/1000000*Assumptions!$B$4</f>
        <v>263.357952622204</v>
      </c>
      <c r="V21" s="18" t="n">
        <f aca="false">R21*Assumptions!$B$2*Assumptions!$B$18*(Assumptions!$B$17+M21+N21)</f>
        <v>5340899.2791783</v>
      </c>
      <c r="W21" s="18" t="n">
        <f aca="false">Q21*Assumptions!$B$2*Assumptions!$B$10*Assumptions!$B$11*O21/100+Q21*Assumptions!$B$3*Assumptions!$B$12*Assumptions!$B$11*O21/100</f>
        <v>563915.822008645</v>
      </c>
      <c r="X21" s="18" t="n">
        <f aca="false">S21*Assumptions!$B$9*Assumptions!$B$19</f>
        <v>46612.0270127795</v>
      </c>
      <c r="Y21" s="18" t="n">
        <f aca="false">W21+X21</f>
        <v>610527.849021425</v>
      </c>
      <c r="Z21" s="18" t="n">
        <f aca="false">S21*Assumptions!$B$9</f>
        <v>1864481.08051118</v>
      </c>
      <c r="AA21" s="17" t="n">
        <f aca="false">Q21*Assumptions!$B$13*Assumptions!$B$14*8760/1000</f>
        <v>79.6226645432299</v>
      </c>
      <c r="AB21" s="17" t="n">
        <f aca="false">Q21*Assumptions!$B$13*8760*1000*Assumptions!$B$15/1233481.8</f>
        <v>29.7928369083965</v>
      </c>
    </row>
    <row r="22" customFormat="false" ht="15" hidden="false" customHeight="false" outlineLevel="0" collapsed="false">
      <c r="A22" s="2" t="s">
        <v>208</v>
      </c>
      <c r="B22" s="2" t="s">
        <v>209</v>
      </c>
      <c r="C22" s="2" t="s">
        <v>210</v>
      </c>
      <c r="D22" s="2" t="s">
        <v>168</v>
      </c>
      <c r="E22" s="2" t="s">
        <v>127</v>
      </c>
      <c r="F22" s="2" t="s">
        <v>211</v>
      </c>
      <c r="G22" s="13" t="n">
        <v>13</v>
      </c>
      <c r="H22" s="13" t="s">
        <v>129</v>
      </c>
      <c r="I22" s="14" t="n">
        <v>26</v>
      </c>
      <c r="J22" s="13" t="n">
        <v>0</v>
      </c>
      <c r="K22" s="13" t="n">
        <v>0</v>
      </c>
      <c r="L22" s="13" t="n">
        <v>0</v>
      </c>
      <c r="M22" s="15" t="n">
        <v>0.007</v>
      </c>
      <c r="N22" s="15" t="n">
        <v>0.015</v>
      </c>
      <c r="O22" s="13" t="n">
        <v>9.37</v>
      </c>
      <c r="P22" s="16" t="n">
        <f aca="false">IF(H22="operating",I22*Facilities!$Z$118,0)</f>
        <v>8.65651930237333</v>
      </c>
      <c r="Q22" s="16" t="n">
        <f aca="false">IF(H22="operating",P22,IF(OR(H22="under construction",H22="approved/planned",H22="proposed"),I22,0))</f>
        <v>8.65651930237333</v>
      </c>
      <c r="R22" s="16" t="n">
        <f aca="false">Q22</f>
        <v>8.65651930237333</v>
      </c>
      <c r="S22" s="17" t="n">
        <f aca="false">IF(H22="cancelled/withdrawn",0,IF(K22&gt;0,K22,IF(AND(H22="operating",I22&gt;0,I22&lt;=2),MAX(3,Q22*IF(J22=1,Assumptions!$B$6,Assumptions!$B$7)),Q22*IF(J22=1,Assumptions!$B$6,Assumptions!$B$7))))</f>
        <v>17.3130386047467</v>
      </c>
      <c r="T22" s="17" t="n">
        <f aca="false">S22*Assumptions!$B$8</f>
        <v>32.7216429629712</v>
      </c>
      <c r="U22" s="17" t="n">
        <f aca="false">R22*Assumptions!$B$2/1000000*Assumptions!$B$4</f>
        <v>244.546670292047</v>
      </c>
      <c r="V22" s="18" t="n">
        <f aca="false">R22*Assumptions!$B$2*Assumptions!$B$18*(Assumptions!$B$17+M22+N22)</f>
        <v>4959406.4735227</v>
      </c>
      <c r="W22" s="18" t="n">
        <f aca="false">Q22*Assumptions!$B$2*Assumptions!$B$10*Assumptions!$B$11*O22/100+Q22*Assumptions!$B$3*Assumptions!$B$12*Assumptions!$B$11*O22/100</f>
        <v>523636.120436599</v>
      </c>
      <c r="X22" s="18" t="n">
        <f aca="false">S22*Assumptions!$B$9*Assumptions!$B$19</f>
        <v>43282.5965118667</v>
      </c>
      <c r="Y22" s="18" t="n">
        <f aca="false">W22+X22</f>
        <v>566918.716948466</v>
      </c>
      <c r="Z22" s="18" t="n">
        <f aca="false">S22*Assumptions!$B$9</f>
        <v>1731303.86047467</v>
      </c>
      <c r="AA22" s="17" t="n">
        <f aca="false">Q22*Assumptions!$B$13*Assumptions!$B$14*8760/1000</f>
        <v>73.9353313615706</v>
      </c>
      <c r="AB22" s="17" t="n">
        <f aca="false">Q22*Assumptions!$B$13*8760*1000*Assumptions!$B$15/1233481.8</f>
        <v>27.6647771292253</v>
      </c>
    </row>
    <row r="23" customFormat="false" ht="15" hidden="false" customHeight="false" outlineLevel="0" collapsed="false">
      <c r="A23" s="2" t="s">
        <v>212</v>
      </c>
      <c r="B23" s="2" t="s">
        <v>213</v>
      </c>
      <c r="C23" s="2" t="s">
        <v>214</v>
      </c>
      <c r="D23" s="2" t="s">
        <v>126</v>
      </c>
      <c r="E23" s="2" t="s">
        <v>127</v>
      </c>
      <c r="F23" s="2" t="s">
        <v>215</v>
      </c>
      <c r="G23" s="13" t="n">
        <v>9</v>
      </c>
      <c r="H23" s="13" t="s">
        <v>129</v>
      </c>
      <c r="I23" s="14" t="n">
        <v>17.3</v>
      </c>
      <c r="J23" s="13" t="n">
        <v>0</v>
      </c>
      <c r="K23" s="13" t="n">
        <v>0</v>
      </c>
      <c r="L23" s="13" t="n">
        <v>0</v>
      </c>
      <c r="M23" s="15" t="n">
        <v>0.007</v>
      </c>
      <c r="N23" s="15" t="n">
        <v>0.02</v>
      </c>
      <c r="O23" s="13" t="n">
        <v>9.3</v>
      </c>
      <c r="P23" s="16" t="n">
        <f aca="false">IF(H23="operating",I23*Facilities!$Z$118,0)</f>
        <v>5.75991476657918</v>
      </c>
      <c r="Q23" s="16" t="n">
        <f aca="false">IF(H23="operating",P23,IF(OR(H23="under construction",H23="approved/planned",H23="proposed"),I23,0))</f>
        <v>5.75991476657918</v>
      </c>
      <c r="R23" s="16" t="n">
        <f aca="false">Q23</f>
        <v>5.75991476657918</v>
      </c>
      <c r="S23" s="17" t="n">
        <f aca="false">IF(H23="cancelled/withdrawn",0,IF(K23&gt;0,K23,IF(AND(H23="operating",I23&gt;0,I23&lt;=2),MAX(3,Q23*IF(J23=1,Assumptions!$B$6,Assumptions!$B$7)),Q23*IF(J23=1,Assumptions!$B$6,Assumptions!$B$7))))</f>
        <v>11.5198295331584</v>
      </c>
      <c r="T23" s="17" t="n">
        <f aca="false">S23*Assumptions!$B$8</f>
        <v>21.7724778176693</v>
      </c>
      <c r="U23" s="17" t="n">
        <f aca="false">R23*Assumptions!$B$2/1000000*Assumptions!$B$4</f>
        <v>162.717592155862</v>
      </c>
      <c r="V23" s="18" t="n">
        <f aca="false">R23*Assumptions!$B$2*Assumptions!$B$18*(Assumptions!$B$17+M23+N23)</f>
        <v>3511445.6387235</v>
      </c>
      <c r="W23" s="18" t="n">
        <f aca="false">Q23*Assumptions!$B$2*Assumptions!$B$10*Assumptions!$B$11*O23/100+Q23*Assumptions!$B$3*Assumptions!$B$12*Assumptions!$B$11*O23/100</f>
        <v>345816.498715395</v>
      </c>
      <c r="X23" s="18" t="n">
        <f aca="false">S23*Assumptions!$B$9*Assumptions!$B$19</f>
        <v>28799.5738328959</v>
      </c>
      <c r="Y23" s="18" t="n">
        <f aca="false">W23+X23</f>
        <v>374616.072548291</v>
      </c>
      <c r="Z23" s="18" t="n">
        <f aca="false">S23*Assumptions!$B$9</f>
        <v>1151982.95331584</v>
      </c>
      <c r="AA23" s="17" t="n">
        <f aca="false">Q23*Assumptions!$B$13*Assumptions!$B$14*8760/1000</f>
        <v>49.1954320213528</v>
      </c>
      <c r="AB23" s="17" t="n">
        <f aca="false">Q23*Assumptions!$B$13*8760*1000*Assumptions!$B$15/1233481.8</f>
        <v>18.4077170898307</v>
      </c>
    </row>
    <row r="24" customFormat="false" ht="15" hidden="false" customHeight="false" outlineLevel="0" collapsed="false">
      <c r="A24" s="2" t="s">
        <v>216</v>
      </c>
      <c r="B24" s="2" t="s">
        <v>217</v>
      </c>
      <c r="C24" s="2" t="s">
        <v>218</v>
      </c>
      <c r="D24" s="2" t="s">
        <v>155</v>
      </c>
      <c r="E24" s="2" t="s">
        <v>127</v>
      </c>
      <c r="F24" s="2" t="s">
        <v>219</v>
      </c>
      <c r="G24" s="13" t="n">
        <v>11</v>
      </c>
      <c r="H24" s="13" t="s">
        <v>129</v>
      </c>
      <c r="I24" s="14" t="n">
        <v>13.3</v>
      </c>
      <c r="J24" s="13" t="n">
        <v>0</v>
      </c>
      <c r="K24" s="13" t="n">
        <v>0</v>
      </c>
      <c r="L24" s="13" t="n">
        <v>0</v>
      </c>
      <c r="M24" s="15" t="n">
        <v>0.007</v>
      </c>
      <c r="N24" s="15" t="n">
        <v>0.028</v>
      </c>
      <c r="O24" s="13" t="n">
        <v>11</v>
      </c>
      <c r="P24" s="16" t="n">
        <f aca="false">IF(H24="operating",I24*Facilities!$Z$118,0)</f>
        <v>4.42814256621405</v>
      </c>
      <c r="Q24" s="16" t="n">
        <f aca="false">IF(H24="operating",P24,IF(OR(H24="under construction",H24="approved/planned",H24="proposed"),I24,0))</f>
        <v>4.42814256621405</v>
      </c>
      <c r="R24" s="16" t="n">
        <f aca="false">Q24</f>
        <v>4.42814256621405</v>
      </c>
      <c r="S24" s="17" t="n">
        <f aca="false">IF(H24="cancelled/withdrawn",0,IF(K24&gt;0,K24,IF(AND(H24="operating",I24&gt;0,I24&lt;=2),MAX(3,Q24*IF(J24=1,Assumptions!$B$6,Assumptions!$B$7)),Q24*IF(J24=1,Assumptions!$B$6,Assumptions!$B$7))))</f>
        <v>8.8562851324281</v>
      </c>
      <c r="T24" s="17" t="n">
        <f aca="false">S24*Assumptions!$B$8</f>
        <v>16.7383789002891</v>
      </c>
      <c r="U24" s="17" t="n">
        <f aca="false">R24*Assumptions!$B$2/1000000*Assumptions!$B$4</f>
        <v>125.095027495547</v>
      </c>
      <c r="V24" s="18" t="n">
        <f aca="false">R24*Assumptions!$B$2*Assumptions!$B$18*(Assumptions!$B$17+M24+N24)</f>
        <v>2959748.35054464</v>
      </c>
      <c r="W24" s="18" t="n">
        <f aca="false">Q24*Assumptions!$B$2*Assumptions!$B$10*Assumptions!$B$11*O24/100+Q24*Assumptions!$B$3*Assumptions!$B$12*Assumptions!$B$11*O24/100</f>
        <v>314456.7950902</v>
      </c>
      <c r="X24" s="18" t="n">
        <f aca="false">S24*Assumptions!$B$9*Assumptions!$B$19</f>
        <v>22140.7128310702</v>
      </c>
      <c r="Y24" s="18" t="n">
        <f aca="false">W24+X24</f>
        <v>336597.50792127</v>
      </c>
      <c r="Z24" s="18" t="n">
        <f aca="false">S24*Assumptions!$B$9</f>
        <v>885628.51324281</v>
      </c>
      <c r="AA24" s="17" t="n">
        <f aca="false">Q24*Assumptions!$B$13*Assumptions!$B$14*8760/1000</f>
        <v>37.8207656580342</v>
      </c>
      <c r="AB24" s="17" t="n">
        <f aca="false">Q24*Assumptions!$B$13*8760*1000*Assumptions!$B$15/1233481.8</f>
        <v>14.1515975314883</v>
      </c>
    </row>
    <row r="25" customFormat="false" ht="15" hidden="false" customHeight="false" outlineLevel="0" collapsed="false">
      <c r="A25" s="2" t="s">
        <v>220</v>
      </c>
      <c r="B25" s="2" t="s">
        <v>221</v>
      </c>
      <c r="C25" s="2" t="s">
        <v>183</v>
      </c>
      <c r="D25" s="2" t="s">
        <v>222</v>
      </c>
      <c r="E25" s="2" t="s">
        <v>127</v>
      </c>
      <c r="F25" s="2" t="s">
        <v>223</v>
      </c>
      <c r="G25" s="13" t="n">
        <v>4</v>
      </c>
      <c r="H25" s="13" t="s">
        <v>129</v>
      </c>
      <c r="I25" s="14" t="n">
        <v>5.8</v>
      </c>
      <c r="J25" s="13" t="n">
        <v>0</v>
      </c>
      <c r="K25" s="13" t="n">
        <v>0</v>
      </c>
      <c r="L25" s="13" t="n">
        <v>0</v>
      </c>
      <c r="M25" s="15" t="n">
        <v>0.007</v>
      </c>
      <c r="N25" s="15" t="n">
        <v>0.0175</v>
      </c>
      <c r="O25" s="13" t="n">
        <v>10.5</v>
      </c>
      <c r="P25" s="16" t="n">
        <f aca="false">IF(H25="operating",I25*Facilities!$Z$118,0)</f>
        <v>1.93106969052944</v>
      </c>
      <c r="Q25" s="16" t="n">
        <f aca="false">IF(H25="operating",P25,IF(OR(H25="under construction",H25="approved/planned",H25="proposed"),I25,0))</f>
        <v>1.93106969052944</v>
      </c>
      <c r="R25" s="16" t="n">
        <f aca="false">Q25</f>
        <v>1.93106969052944</v>
      </c>
      <c r="S25" s="17" t="n">
        <f aca="false">IF(H25="cancelled/withdrawn",0,IF(K25&gt;0,K25,IF(AND(H25="operating",I25&gt;0,I25&lt;=2),MAX(3,Q25*IF(J25=1,Assumptions!$B$6,Assumptions!$B$7)),Q25*IF(J25=1,Assumptions!$B$6,Assumptions!$B$7))))</f>
        <v>3.86213938105887</v>
      </c>
      <c r="T25" s="17" t="n">
        <f aca="false">S25*Assumptions!$B$8</f>
        <v>7.29944343020126</v>
      </c>
      <c r="U25" s="17" t="n">
        <f aca="false">R25*Assumptions!$B$2/1000000*Assumptions!$B$4</f>
        <v>54.5527187574565</v>
      </c>
      <c r="V25" s="18" t="n">
        <f aca="false">R25*Assumptions!$B$2*Assumptions!$B$18*(Assumptions!$B$17+M25+N25)</f>
        <v>1141788.40359357</v>
      </c>
      <c r="W25" s="18" t="n">
        <f aca="false">Q25*Assumptions!$B$2*Assumptions!$B$10*Assumptions!$B$11*O25/100+Q25*Assumptions!$B$3*Assumptions!$B$12*Assumptions!$B$11*O25/100</f>
        <v>130898.283123672</v>
      </c>
      <c r="X25" s="18" t="n">
        <f aca="false">S25*Assumptions!$B$9*Assumptions!$B$19</f>
        <v>9655.34845264718</v>
      </c>
      <c r="Y25" s="18" t="n">
        <f aca="false">W25+X25</f>
        <v>140553.631576319</v>
      </c>
      <c r="Z25" s="18" t="n">
        <f aca="false">S25*Assumptions!$B$9</f>
        <v>386213.938105887</v>
      </c>
      <c r="AA25" s="17" t="n">
        <f aca="false">Q25*Assumptions!$B$13*Assumptions!$B$14*8760/1000</f>
        <v>16.4932662268119</v>
      </c>
      <c r="AB25" s="17" t="n">
        <f aca="false">Q25*Assumptions!$B$13*8760*1000*Assumptions!$B$15/1233481.8</f>
        <v>6.17137335959641</v>
      </c>
    </row>
    <row r="26" customFormat="false" ht="15" hidden="false" customHeight="false" outlineLevel="0" collapsed="false">
      <c r="A26" s="2" t="s">
        <v>224</v>
      </c>
      <c r="B26" s="2" t="s">
        <v>225</v>
      </c>
      <c r="C26" s="2" t="s">
        <v>226</v>
      </c>
      <c r="D26" s="2" t="s">
        <v>155</v>
      </c>
      <c r="E26" s="2" t="s">
        <v>127</v>
      </c>
      <c r="F26" s="2" t="s">
        <v>227</v>
      </c>
      <c r="G26" s="13" t="n">
        <v>2</v>
      </c>
      <c r="H26" s="13" t="s">
        <v>129</v>
      </c>
      <c r="I26" s="14" t="n">
        <v>5.02</v>
      </c>
      <c r="J26" s="13" t="n">
        <v>0</v>
      </c>
      <c r="K26" s="13" t="n">
        <v>0</v>
      </c>
      <c r="L26" s="13" t="n">
        <v>0</v>
      </c>
      <c r="M26" s="15" t="n">
        <v>0.007</v>
      </c>
      <c r="N26" s="15" t="n">
        <v>0.028</v>
      </c>
      <c r="O26" s="13" t="n">
        <v>11</v>
      </c>
      <c r="P26" s="16" t="n">
        <f aca="false">IF(H26="operating",I26*Facilities!$Z$118,0)</f>
        <v>1.67137411145824</v>
      </c>
      <c r="Q26" s="16" t="n">
        <f aca="false">IF(H26="operating",P26,IF(OR(H26="under construction",H26="approved/planned",H26="proposed"),I26,0))</f>
        <v>1.67137411145824</v>
      </c>
      <c r="R26" s="16" t="n">
        <f aca="false">Q26</f>
        <v>1.67137411145824</v>
      </c>
      <c r="S26" s="17" t="n">
        <f aca="false">IF(H26="cancelled/withdrawn",0,IF(K26&gt;0,K26,IF(AND(H26="operating",I26&gt;0,I26&lt;=2),MAX(3,Q26*IF(J26=1,Assumptions!$B$6,Assumptions!$B$7)),Q26*IF(J26=1,Assumptions!$B$6,Assumptions!$B$7))))</f>
        <v>3.34274822291647</v>
      </c>
      <c r="T26" s="17" t="n">
        <f aca="false">S26*Assumptions!$B$8</f>
        <v>6.31779414131213</v>
      </c>
      <c r="U26" s="17" t="n">
        <f aca="false">R26*Assumptions!$B$2/1000000*Assumptions!$B$4</f>
        <v>47.2163186486951</v>
      </c>
      <c r="V26" s="18" t="n">
        <f aca="false">R26*Assumptions!$B$2*Assumptions!$B$18*(Assumptions!$B$17+M26+N26)</f>
        <v>1117138.09922813</v>
      </c>
      <c r="W26" s="18" t="n">
        <f aca="false">Q26*Assumptions!$B$2*Assumptions!$B$10*Assumptions!$B$11*O26/100+Q26*Assumptions!$B$3*Assumptions!$B$12*Assumptions!$B$11*O26/100</f>
        <v>118689.707620511</v>
      </c>
      <c r="X26" s="18" t="n">
        <f aca="false">S26*Assumptions!$B$9*Assumptions!$B$19</f>
        <v>8356.87055729118</v>
      </c>
      <c r="Y26" s="18" t="n">
        <f aca="false">W26+X26</f>
        <v>127046.578177803</v>
      </c>
      <c r="Z26" s="18" t="n">
        <f aca="false">S26*Assumptions!$B$9</f>
        <v>334274.822291647</v>
      </c>
      <c r="AA26" s="17" t="n">
        <f aca="false">Q26*Assumptions!$B$13*Assumptions!$B$14*8760/1000</f>
        <v>14.2752062859648</v>
      </c>
      <c r="AB26" s="17" t="n">
        <f aca="false">Q26*Assumptions!$B$13*8760*1000*Assumptions!$B$15/1233481.8</f>
        <v>5.34143004571966</v>
      </c>
    </row>
    <row r="27" customFormat="false" ht="15" hidden="false" customHeight="false" outlineLevel="0" collapsed="false">
      <c r="A27" s="2" t="s">
        <v>228</v>
      </c>
      <c r="B27" s="2" t="s">
        <v>229</v>
      </c>
      <c r="C27" s="2" t="s">
        <v>230</v>
      </c>
      <c r="D27" s="2" t="s">
        <v>199</v>
      </c>
      <c r="E27" s="2" t="s">
        <v>127</v>
      </c>
      <c r="F27" s="2" t="s">
        <v>203</v>
      </c>
      <c r="G27" s="13" t="n">
        <v>8</v>
      </c>
      <c r="H27" s="13" t="s">
        <v>129</v>
      </c>
      <c r="I27" s="14" t="n">
        <v>5</v>
      </c>
      <c r="J27" s="13" t="n">
        <v>0</v>
      </c>
      <c r="K27" s="13" t="n">
        <v>0</v>
      </c>
      <c r="L27" s="13" t="n">
        <v>0</v>
      </c>
      <c r="M27" s="15" t="n">
        <v>0.007</v>
      </c>
      <c r="N27" s="15" t="n">
        <v>0.018</v>
      </c>
      <c r="O27" s="13" t="n">
        <v>10.5</v>
      </c>
      <c r="P27" s="16" t="n">
        <f aca="false">IF(H27="operating",I27*Facilities!$Z$118,0)</f>
        <v>1.66471525045641</v>
      </c>
      <c r="Q27" s="16" t="n">
        <f aca="false">IF(H27="operating",P27,IF(OR(H27="under construction",H27="approved/planned",H27="proposed"),I27,0))</f>
        <v>1.66471525045641</v>
      </c>
      <c r="R27" s="16" t="n">
        <f aca="false">Q27</f>
        <v>1.66471525045641</v>
      </c>
      <c r="S27" s="17" t="n">
        <f aca="false">IF(H27="cancelled/withdrawn",0,IF(K27&gt;0,K27,IF(AND(H27="operating",I27&gt;0,I27&lt;=2),MAX(3,Q27*IF(J27=1,Assumptions!$B$6,Assumptions!$B$7)),Q27*IF(J27=1,Assumptions!$B$6,Assumptions!$B$7))))</f>
        <v>3.32943050091282</v>
      </c>
      <c r="T27" s="17" t="n">
        <f aca="false">S27*Assumptions!$B$8</f>
        <v>6.29262364672523</v>
      </c>
      <c r="U27" s="17" t="n">
        <f aca="false">R27*Assumptions!$B$2/1000000*Assumptions!$B$4</f>
        <v>47.0282058253936</v>
      </c>
      <c r="V27" s="18" t="n">
        <f aca="false">R27*Assumptions!$B$2*Assumptions!$B$18*(Assumptions!$B$17+M27+N27)</f>
        <v>990414.014682789</v>
      </c>
      <c r="W27" s="18" t="n">
        <f aca="false">Q27*Assumptions!$B$2*Assumptions!$B$10*Assumptions!$B$11*O27/100+Q27*Assumptions!$B$3*Assumptions!$B$12*Assumptions!$B$11*O27/100</f>
        <v>112843.347520407</v>
      </c>
      <c r="X27" s="18" t="n">
        <f aca="false">S27*Assumptions!$B$9*Assumptions!$B$19</f>
        <v>8323.57625228205</v>
      </c>
      <c r="Y27" s="18" t="n">
        <f aca="false">W27+X27</f>
        <v>121166.923772689</v>
      </c>
      <c r="Z27" s="18" t="n">
        <f aca="false">S27*Assumptions!$B$9</f>
        <v>332943.050091282</v>
      </c>
      <c r="AA27" s="17" t="n">
        <f aca="false">Q27*Assumptions!$B$13*Assumptions!$B$14*8760/1000</f>
        <v>14.2183329541482</v>
      </c>
      <c r="AB27" s="17" t="n">
        <f aca="false">Q27*Assumptions!$B$13*8760*1000*Assumptions!$B$15/1233481.8</f>
        <v>5.32014944792794</v>
      </c>
    </row>
    <row r="28" customFormat="false" ht="15" hidden="false" customHeight="false" outlineLevel="0" collapsed="false">
      <c r="A28" s="2" t="s">
        <v>231</v>
      </c>
      <c r="B28" s="2" t="s">
        <v>232</v>
      </c>
      <c r="C28" s="2" t="s">
        <v>137</v>
      </c>
      <c r="D28" s="2" t="s">
        <v>233</v>
      </c>
      <c r="E28" s="2" t="s">
        <v>127</v>
      </c>
      <c r="F28" s="2" t="s">
        <v>234</v>
      </c>
      <c r="G28" s="13" t="n">
        <v>29</v>
      </c>
      <c r="H28" s="13" t="s">
        <v>129</v>
      </c>
      <c r="I28" s="14" t="n">
        <v>2</v>
      </c>
      <c r="J28" s="13" t="n">
        <v>1</v>
      </c>
      <c r="K28" s="13" t="n">
        <v>0</v>
      </c>
      <c r="L28" s="13" t="n">
        <v>0</v>
      </c>
      <c r="M28" s="15" t="n">
        <v>0.007</v>
      </c>
      <c r="N28" s="15" t="n">
        <v>0.03</v>
      </c>
      <c r="O28" s="13" t="n">
        <v>10.09</v>
      </c>
      <c r="P28" s="16" t="n">
        <f aca="false">IF(H28="operating",I28*Facilities!$Z$118,0)</f>
        <v>0.665886100182564</v>
      </c>
      <c r="Q28" s="16" t="n">
        <f aca="false">IF(H28="operating",P28,IF(OR(H28="under construction",H28="approved/planned",H28="proposed"),I28,0))</f>
        <v>0.665886100182564</v>
      </c>
      <c r="R28" s="16" t="n">
        <f aca="false">Q28</f>
        <v>0.665886100182564</v>
      </c>
      <c r="S28" s="17" t="n">
        <f aca="false">IF(H28="cancelled/withdrawn",0,IF(K28&gt;0,K28,IF(AND(H28="operating",I28&gt;0,I28&lt;=2),MAX(3,Q28*IF(J28=1,Assumptions!$B$6,Assumptions!$B$7)),Q28*IF(J28=1,Assumptions!$B$6,Assumptions!$B$7))))</f>
        <v>3</v>
      </c>
      <c r="T28" s="17" t="n">
        <f aca="false">S28*Assumptions!$B$8</f>
        <v>5.67</v>
      </c>
      <c r="U28" s="17" t="n">
        <f aca="false">R28*Assumptions!$B$2/1000000*Assumptions!$B$4</f>
        <v>18.8112823301574</v>
      </c>
      <c r="V28" s="18" t="n">
        <f aca="false">R28*Assumptions!$B$2*Assumptions!$B$18*(Assumptions!$B$17+M28+N28)</f>
        <v>454856.806743207</v>
      </c>
      <c r="W28" s="18" t="n">
        <f aca="false">Q28*Assumptions!$B$2*Assumptions!$B$10*Assumptions!$B$11*O28/100+Q28*Assumptions!$B$3*Assumptions!$B$12*Assumptions!$B$11*O28/100</f>
        <v>43374.8333897487</v>
      </c>
      <c r="X28" s="18" t="n">
        <f aca="false">S28*Assumptions!$B$9*Assumptions!$B$19</f>
        <v>7500</v>
      </c>
      <c r="Y28" s="18" t="n">
        <f aca="false">W28+X28</f>
        <v>50874.8333897487</v>
      </c>
      <c r="Z28" s="18" t="n">
        <f aca="false">S28*Assumptions!$B$9</f>
        <v>300000</v>
      </c>
      <c r="AA28" s="17" t="n">
        <f aca="false">Q28*Assumptions!$B$13*Assumptions!$B$14*8760/1000</f>
        <v>5.68733318165928</v>
      </c>
      <c r="AB28" s="17" t="n">
        <f aca="false">Q28*Assumptions!$B$13*8760*1000*Assumptions!$B$15/1233481.8</f>
        <v>2.12805977917118</v>
      </c>
    </row>
    <row r="29" customFormat="false" ht="15" hidden="false" customHeight="false" outlineLevel="0" collapsed="false">
      <c r="A29" s="2" t="s">
        <v>235</v>
      </c>
      <c r="B29" s="2" t="s">
        <v>236</v>
      </c>
      <c r="C29" s="2" t="s">
        <v>237</v>
      </c>
      <c r="D29" s="2" t="s">
        <v>155</v>
      </c>
      <c r="E29" s="2" t="s">
        <v>127</v>
      </c>
      <c r="F29" s="2" t="s">
        <v>234</v>
      </c>
      <c r="G29" s="13" t="n">
        <v>11</v>
      </c>
      <c r="H29" s="13" t="s">
        <v>129</v>
      </c>
      <c r="I29" s="14" t="n">
        <v>2</v>
      </c>
      <c r="J29" s="13" t="n">
        <v>0</v>
      </c>
      <c r="K29" s="13" t="n">
        <v>0</v>
      </c>
      <c r="L29" s="13" t="n">
        <v>0</v>
      </c>
      <c r="M29" s="15" t="n">
        <v>0.007</v>
      </c>
      <c r="N29" s="15" t="n">
        <v>0.028</v>
      </c>
      <c r="O29" s="13" t="n">
        <v>11</v>
      </c>
      <c r="P29" s="16" t="n">
        <f aca="false">IF(H29="operating",I29*Facilities!$Z$118,0)</f>
        <v>0.665886100182564</v>
      </c>
      <c r="Q29" s="16" t="n">
        <f aca="false">IF(H29="operating",P29,IF(OR(H29="under construction",H29="approved/planned",H29="proposed"),I29,0))</f>
        <v>0.665886100182564</v>
      </c>
      <c r="R29" s="16" t="n">
        <f aca="false">Q29</f>
        <v>0.665886100182564</v>
      </c>
      <c r="S29" s="17" t="n">
        <f aca="false">IF(H29="cancelled/withdrawn",0,IF(K29&gt;0,K29,IF(AND(H29="operating",I29&gt;0,I29&lt;=2),MAX(3,Q29*IF(J29=1,Assumptions!$B$6,Assumptions!$B$7)),Q29*IF(J29=1,Assumptions!$B$6,Assumptions!$B$7))))</f>
        <v>3</v>
      </c>
      <c r="T29" s="17" t="n">
        <f aca="false">S29*Assumptions!$B$8</f>
        <v>5.67</v>
      </c>
      <c r="U29" s="17" t="n">
        <f aca="false">R29*Assumptions!$B$2/1000000*Assumptions!$B$4</f>
        <v>18.8112823301574</v>
      </c>
      <c r="V29" s="18" t="n">
        <f aca="false">R29*Assumptions!$B$2*Assumptions!$B$18*(Assumptions!$B$17+M29+N29)</f>
        <v>445074.939931525</v>
      </c>
      <c r="W29" s="18" t="n">
        <f aca="false">Q29*Assumptions!$B$2*Assumptions!$B$10*Assumptions!$B$11*O29/100+Q29*Assumptions!$B$3*Assumptions!$B$12*Assumptions!$B$11*O29/100</f>
        <v>47286.7361037894</v>
      </c>
      <c r="X29" s="18" t="n">
        <f aca="false">S29*Assumptions!$B$9*Assumptions!$B$19</f>
        <v>7500</v>
      </c>
      <c r="Y29" s="18" t="n">
        <f aca="false">W29+X29</f>
        <v>54786.7361037894</v>
      </c>
      <c r="Z29" s="18" t="n">
        <f aca="false">S29*Assumptions!$B$9</f>
        <v>300000</v>
      </c>
      <c r="AA29" s="17" t="n">
        <f aca="false">Q29*Assumptions!$B$13*Assumptions!$B$14*8760/1000</f>
        <v>5.68733318165928</v>
      </c>
      <c r="AB29" s="17" t="n">
        <f aca="false">Q29*Assumptions!$B$13*8760*1000*Assumptions!$B$15/1233481.8</f>
        <v>2.12805977917118</v>
      </c>
    </row>
    <row r="30" customFormat="false" ht="15" hidden="false" customHeight="false" outlineLevel="0" collapsed="false">
      <c r="A30" s="2" t="s">
        <v>238</v>
      </c>
      <c r="B30" s="2" t="s">
        <v>239</v>
      </c>
      <c r="C30" s="2" t="s">
        <v>240</v>
      </c>
      <c r="D30" s="2" t="s">
        <v>155</v>
      </c>
      <c r="E30" s="2" t="s">
        <v>127</v>
      </c>
      <c r="F30" s="2" t="s">
        <v>234</v>
      </c>
      <c r="G30" s="13" t="n">
        <v>11</v>
      </c>
      <c r="H30" s="13" t="s">
        <v>129</v>
      </c>
      <c r="I30" s="14" t="n">
        <v>2</v>
      </c>
      <c r="J30" s="13" t="n">
        <v>0</v>
      </c>
      <c r="K30" s="13" t="n">
        <v>0</v>
      </c>
      <c r="L30" s="13" t="n">
        <v>0</v>
      </c>
      <c r="M30" s="15" t="n">
        <v>0.007</v>
      </c>
      <c r="N30" s="15" t="n">
        <v>0.028</v>
      </c>
      <c r="O30" s="13" t="n">
        <v>11</v>
      </c>
      <c r="P30" s="16" t="n">
        <f aca="false">IF(H30="operating",I30*Facilities!$Z$118,0)</f>
        <v>0.665886100182564</v>
      </c>
      <c r="Q30" s="16" t="n">
        <f aca="false">IF(H30="operating",P30,IF(OR(H30="under construction",H30="approved/planned",H30="proposed"),I30,0))</f>
        <v>0.665886100182564</v>
      </c>
      <c r="R30" s="16" t="n">
        <f aca="false">Q30</f>
        <v>0.665886100182564</v>
      </c>
      <c r="S30" s="17" t="n">
        <f aca="false">IF(H30="cancelled/withdrawn",0,IF(K30&gt;0,K30,IF(AND(H30="operating",I30&gt;0,I30&lt;=2),MAX(3,Q30*IF(J30=1,Assumptions!$B$6,Assumptions!$B$7)),Q30*IF(J30=1,Assumptions!$B$6,Assumptions!$B$7))))</f>
        <v>3</v>
      </c>
      <c r="T30" s="17" t="n">
        <f aca="false">S30*Assumptions!$B$8</f>
        <v>5.67</v>
      </c>
      <c r="U30" s="17" t="n">
        <f aca="false">R30*Assumptions!$B$2/1000000*Assumptions!$B$4</f>
        <v>18.8112823301574</v>
      </c>
      <c r="V30" s="18" t="n">
        <f aca="false">R30*Assumptions!$B$2*Assumptions!$B$18*(Assumptions!$B$17+M30+N30)</f>
        <v>445074.939931525</v>
      </c>
      <c r="W30" s="18" t="n">
        <f aca="false">Q30*Assumptions!$B$2*Assumptions!$B$10*Assumptions!$B$11*O30/100+Q30*Assumptions!$B$3*Assumptions!$B$12*Assumptions!$B$11*O30/100</f>
        <v>47286.7361037894</v>
      </c>
      <c r="X30" s="18" t="n">
        <f aca="false">S30*Assumptions!$B$9*Assumptions!$B$19</f>
        <v>7500</v>
      </c>
      <c r="Y30" s="18" t="n">
        <f aca="false">W30+X30</f>
        <v>54786.7361037894</v>
      </c>
      <c r="Z30" s="18" t="n">
        <f aca="false">S30*Assumptions!$B$9</f>
        <v>300000</v>
      </c>
      <c r="AA30" s="17" t="n">
        <f aca="false">Q30*Assumptions!$B$13*Assumptions!$B$14*8760/1000</f>
        <v>5.68733318165928</v>
      </c>
      <c r="AB30" s="17" t="n">
        <f aca="false">Q30*Assumptions!$B$13*8760*1000*Assumptions!$B$15/1233481.8</f>
        <v>2.12805977917118</v>
      </c>
    </row>
    <row r="31" customFormat="false" ht="15" hidden="false" customHeight="false" outlineLevel="0" collapsed="false">
      <c r="A31" s="2" t="s">
        <v>241</v>
      </c>
      <c r="B31" s="2" t="s">
        <v>242</v>
      </c>
      <c r="C31" s="2" t="s">
        <v>243</v>
      </c>
      <c r="D31" s="2" t="s">
        <v>155</v>
      </c>
      <c r="E31" s="2" t="s">
        <v>127</v>
      </c>
      <c r="F31" s="2" t="s">
        <v>234</v>
      </c>
      <c r="G31" s="13" t="n">
        <v>11</v>
      </c>
      <c r="H31" s="13" t="s">
        <v>129</v>
      </c>
      <c r="I31" s="14" t="n">
        <v>2</v>
      </c>
      <c r="J31" s="13" t="n">
        <v>0</v>
      </c>
      <c r="K31" s="13" t="n">
        <v>0</v>
      </c>
      <c r="L31" s="13" t="n">
        <v>0</v>
      </c>
      <c r="M31" s="15" t="n">
        <v>0.007</v>
      </c>
      <c r="N31" s="15" t="n">
        <v>0.028</v>
      </c>
      <c r="O31" s="13" t="n">
        <v>11</v>
      </c>
      <c r="P31" s="16" t="n">
        <f aca="false">IF(H31="operating",I31*Facilities!$Z$118,0)</f>
        <v>0.665886100182564</v>
      </c>
      <c r="Q31" s="16" t="n">
        <f aca="false">IF(H31="operating",P31,IF(OR(H31="under construction",H31="approved/planned",H31="proposed"),I31,0))</f>
        <v>0.665886100182564</v>
      </c>
      <c r="R31" s="16" t="n">
        <f aca="false">Q31</f>
        <v>0.665886100182564</v>
      </c>
      <c r="S31" s="17" t="n">
        <f aca="false">IF(H31="cancelled/withdrawn",0,IF(K31&gt;0,K31,IF(AND(H31="operating",I31&gt;0,I31&lt;=2),MAX(3,Q31*IF(J31=1,Assumptions!$B$6,Assumptions!$B$7)),Q31*IF(J31=1,Assumptions!$B$6,Assumptions!$B$7))))</f>
        <v>3</v>
      </c>
      <c r="T31" s="17" t="n">
        <f aca="false">S31*Assumptions!$B$8</f>
        <v>5.67</v>
      </c>
      <c r="U31" s="17" t="n">
        <f aca="false">R31*Assumptions!$B$2/1000000*Assumptions!$B$4</f>
        <v>18.8112823301574</v>
      </c>
      <c r="V31" s="18" t="n">
        <f aca="false">R31*Assumptions!$B$2*Assumptions!$B$18*(Assumptions!$B$17+M31+N31)</f>
        <v>445074.939931525</v>
      </c>
      <c r="W31" s="18" t="n">
        <f aca="false">Q31*Assumptions!$B$2*Assumptions!$B$10*Assumptions!$B$11*O31/100+Q31*Assumptions!$B$3*Assumptions!$B$12*Assumptions!$B$11*O31/100</f>
        <v>47286.7361037894</v>
      </c>
      <c r="X31" s="18" t="n">
        <f aca="false">S31*Assumptions!$B$9*Assumptions!$B$19</f>
        <v>7500</v>
      </c>
      <c r="Y31" s="18" t="n">
        <f aca="false">W31+X31</f>
        <v>54786.7361037894</v>
      </c>
      <c r="Z31" s="18" t="n">
        <f aca="false">S31*Assumptions!$B$9</f>
        <v>300000</v>
      </c>
      <c r="AA31" s="17" t="n">
        <f aca="false">Q31*Assumptions!$B$13*Assumptions!$B$14*8760/1000</f>
        <v>5.68733318165928</v>
      </c>
      <c r="AB31" s="17" t="n">
        <f aca="false">Q31*Assumptions!$B$13*8760*1000*Assumptions!$B$15/1233481.8</f>
        <v>2.12805977917118</v>
      </c>
    </row>
    <row r="32" customFormat="false" ht="15" hidden="false" customHeight="false" outlineLevel="0" collapsed="false">
      <c r="A32" s="2" t="s">
        <v>244</v>
      </c>
      <c r="B32" s="2" t="s">
        <v>245</v>
      </c>
      <c r="C32" s="2" t="s">
        <v>246</v>
      </c>
      <c r="D32" s="2" t="s">
        <v>247</v>
      </c>
      <c r="E32" s="2" t="s">
        <v>127</v>
      </c>
      <c r="F32" s="2" t="s">
        <v>234</v>
      </c>
      <c r="G32" s="13" t="n">
        <v>14</v>
      </c>
      <c r="H32" s="13" t="s">
        <v>129</v>
      </c>
      <c r="I32" s="14" t="n">
        <v>2</v>
      </c>
      <c r="J32" s="13" t="n">
        <v>0</v>
      </c>
      <c r="K32" s="13" t="n">
        <v>0</v>
      </c>
      <c r="L32" s="13" t="n">
        <v>0</v>
      </c>
      <c r="M32" s="15" t="n">
        <v>0.007</v>
      </c>
      <c r="N32" s="15" t="n">
        <v>0.015</v>
      </c>
      <c r="O32" s="13" t="n">
        <v>10.5</v>
      </c>
      <c r="P32" s="16" t="n">
        <f aca="false">IF(H32="operating",I32*Facilities!$Z$118,0)</f>
        <v>0.665886100182564</v>
      </c>
      <c r="Q32" s="16" t="n">
        <f aca="false">IF(H32="operating",P32,IF(OR(H32="under construction",H32="approved/planned",H32="proposed"),I32,0))</f>
        <v>0.665886100182564</v>
      </c>
      <c r="R32" s="16" t="n">
        <f aca="false">Q32</f>
        <v>0.665886100182564</v>
      </c>
      <c r="S32" s="17" t="n">
        <f aca="false">IF(H32="cancelled/withdrawn",0,IF(K32&gt;0,K32,IF(AND(H32="operating",I32&gt;0,I32&lt;=2),MAX(3,Q32*IF(J32=1,Assumptions!$B$6,Assumptions!$B$7)),Q32*IF(J32=1,Assumptions!$B$6,Assumptions!$B$7))))</f>
        <v>3</v>
      </c>
      <c r="T32" s="17" t="n">
        <f aca="false">S32*Assumptions!$B$8</f>
        <v>5.67</v>
      </c>
      <c r="U32" s="17" t="n">
        <f aca="false">R32*Assumptions!$B$2/1000000*Assumptions!$B$4</f>
        <v>18.8112823301574</v>
      </c>
      <c r="V32" s="18" t="n">
        <f aca="false">R32*Assumptions!$B$2*Assumptions!$B$18*(Assumptions!$B$17+M32+N32)</f>
        <v>381492.805655593</v>
      </c>
      <c r="W32" s="18" t="n">
        <f aca="false">Q32*Assumptions!$B$2*Assumptions!$B$10*Assumptions!$B$11*O32/100+Q32*Assumptions!$B$3*Assumptions!$B$12*Assumptions!$B$11*O32/100</f>
        <v>45137.3390081627</v>
      </c>
      <c r="X32" s="18" t="n">
        <f aca="false">S32*Assumptions!$B$9*Assumptions!$B$19</f>
        <v>7500</v>
      </c>
      <c r="Y32" s="18" t="n">
        <f aca="false">W32+X32</f>
        <v>52637.3390081627</v>
      </c>
      <c r="Z32" s="18" t="n">
        <f aca="false">S32*Assumptions!$B$9</f>
        <v>300000</v>
      </c>
      <c r="AA32" s="17" t="n">
        <f aca="false">Q32*Assumptions!$B$13*Assumptions!$B$14*8760/1000</f>
        <v>5.68733318165928</v>
      </c>
      <c r="AB32" s="17" t="n">
        <f aca="false">Q32*Assumptions!$B$13*8760*1000*Assumptions!$B$15/1233481.8</f>
        <v>2.12805977917118</v>
      </c>
    </row>
    <row r="33" customFormat="false" ht="15" hidden="false" customHeight="false" outlineLevel="0" collapsed="false">
      <c r="A33" s="2" t="s">
        <v>248</v>
      </c>
      <c r="B33" s="2" t="s">
        <v>249</v>
      </c>
      <c r="C33" s="2" t="s">
        <v>250</v>
      </c>
      <c r="D33" s="2" t="s">
        <v>126</v>
      </c>
      <c r="E33" s="2" t="s">
        <v>127</v>
      </c>
      <c r="F33" s="2" t="s">
        <v>234</v>
      </c>
      <c r="G33" s="13" t="n">
        <v>9</v>
      </c>
      <c r="H33" s="13" t="s">
        <v>129</v>
      </c>
      <c r="I33" s="14" t="n">
        <v>2</v>
      </c>
      <c r="J33" s="13" t="n">
        <v>0</v>
      </c>
      <c r="K33" s="13" t="n">
        <v>0</v>
      </c>
      <c r="L33" s="13" t="n">
        <v>0</v>
      </c>
      <c r="M33" s="15" t="n">
        <v>0.007</v>
      </c>
      <c r="N33" s="15" t="n">
        <v>0.02</v>
      </c>
      <c r="O33" s="13" t="n">
        <v>9.3</v>
      </c>
      <c r="P33" s="16" t="n">
        <f aca="false">IF(H33="operating",I33*Facilities!$Z$118,0)</f>
        <v>0.665886100182564</v>
      </c>
      <c r="Q33" s="16" t="n">
        <f aca="false">IF(H33="operating",P33,IF(OR(H33="under construction",H33="approved/planned",H33="proposed"),I33,0))</f>
        <v>0.665886100182564</v>
      </c>
      <c r="R33" s="16" t="n">
        <f aca="false">Q33</f>
        <v>0.665886100182564</v>
      </c>
      <c r="S33" s="17" t="n">
        <f aca="false">IF(H33="cancelled/withdrawn",0,IF(K33&gt;0,K33,IF(AND(H33="operating",I33&gt;0,I33&lt;=2),MAX(3,Q33*IF(J33=1,Assumptions!$B$6,Assumptions!$B$7)),Q33*IF(J33=1,Assumptions!$B$6,Assumptions!$B$7))))</f>
        <v>3</v>
      </c>
      <c r="T33" s="17" t="n">
        <f aca="false">S33*Assumptions!$B$8</f>
        <v>5.67</v>
      </c>
      <c r="U33" s="17" t="n">
        <f aca="false">R33*Assumptions!$B$2/1000000*Assumptions!$B$4</f>
        <v>18.8112823301574</v>
      </c>
      <c r="V33" s="18" t="n">
        <f aca="false">R33*Assumptions!$B$2*Assumptions!$B$18*(Assumptions!$B$17+M33+N33)</f>
        <v>405947.472684797</v>
      </c>
      <c r="W33" s="18" t="n">
        <f aca="false">Q33*Assumptions!$B$2*Assumptions!$B$10*Assumptions!$B$11*O33/100+Q33*Assumptions!$B$3*Assumptions!$B$12*Assumptions!$B$11*O33/100</f>
        <v>39978.7859786584</v>
      </c>
      <c r="X33" s="18" t="n">
        <f aca="false">S33*Assumptions!$B$9*Assumptions!$B$19</f>
        <v>7500</v>
      </c>
      <c r="Y33" s="18" t="n">
        <f aca="false">W33+X33</f>
        <v>47478.7859786584</v>
      </c>
      <c r="Z33" s="18" t="n">
        <f aca="false">S33*Assumptions!$B$9</f>
        <v>300000</v>
      </c>
      <c r="AA33" s="17" t="n">
        <f aca="false">Q33*Assumptions!$B$13*Assumptions!$B$14*8760/1000</f>
        <v>5.68733318165928</v>
      </c>
      <c r="AB33" s="17" t="n">
        <f aca="false">Q33*Assumptions!$B$13*8760*1000*Assumptions!$B$15/1233481.8</f>
        <v>2.12805977917118</v>
      </c>
    </row>
    <row r="34" customFormat="false" ht="15" hidden="false" customHeight="false" outlineLevel="0" collapsed="false">
      <c r="A34" s="2" t="s">
        <v>251</v>
      </c>
      <c r="B34" s="2" t="s">
        <v>252</v>
      </c>
      <c r="C34" s="2" t="s">
        <v>253</v>
      </c>
      <c r="D34" s="2" t="s">
        <v>155</v>
      </c>
      <c r="E34" s="2" t="s">
        <v>127</v>
      </c>
      <c r="F34" s="2" t="s">
        <v>234</v>
      </c>
      <c r="G34" s="13" t="n">
        <v>11</v>
      </c>
      <c r="H34" s="13" t="s">
        <v>129</v>
      </c>
      <c r="I34" s="14" t="n">
        <v>2</v>
      </c>
      <c r="J34" s="13" t="n">
        <v>0</v>
      </c>
      <c r="K34" s="13" t="n">
        <v>0</v>
      </c>
      <c r="L34" s="13" t="n">
        <v>0</v>
      </c>
      <c r="M34" s="15" t="n">
        <v>0.007</v>
      </c>
      <c r="N34" s="15" t="n">
        <v>0.028</v>
      </c>
      <c r="O34" s="13" t="n">
        <v>11</v>
      </c>
      <c r="P34" s="16" t="n">
        <f aca="false">IF(H34="operating",I34*Facilities!$Z$118,0)</f>
        <v>0.665886100182564</v>
      </c>
      <c r="Q34" s="16" t="n">
        <f aca="false">IF(H34="operating",P34,IF(OR(H34="under construction",H34="approved/planned",H34="proposed"),I34,0))</f>
        <v>0.665886100182564</v>
      </c>
      <c r="R34" s="16" t="n">
        <f aca="false">Q34</f>
        <v>0.665886100182564</v>
      </c>
      <c r="S34" s="17" t="n">
        <f aca="false">IF(H34="cancelled/withdrawn",0,IF(K34&gt;0,K34,IF(AND(H34="operating",I34&gt;0,I34&lt;=2),MAX(3,Q34*IF(J34=1,Assumptions!$B$6,Assumptions!$B$7)),Q34*IF(J34=1,Assumptions!$B$6,Assumptions!$B$7))))</f>
        <v>3</v>
      </c>
      <c r="T34" s="17" t="n">
        <f aca="false">S34*Assumptions!$B$8</f>
        <v>5.67</v>
      </c>
      <c r="U34" s="17" t="n">
        <f aca="false">R34*Assumptions!$B$2/1000000*Assumptions!$B$4</f>
        <v>18.8112823301574</v>
      </c>
      <c r="V34" s="18" t="n">
        <f aca="false">R34*Assumptions!$B$2*Assumptions!$B$18*(Assumptions!$B$17+M34+N34)</f>
        <v>445074.939931525</v>
      </c>
      <c r="W34" s="18" t="n">
        <f aca="false">Q34*Assumptions!$B$2*Assumptions!$B$10*Assumptions!$B$11*O34/100+Q34*Assumptions!$B$3*Assumptions!$B$12*Assumptions!$B$11*O34/100</f>
        <v>47286.7361037894</v>
      </c>
      <c r="X34" s="18" t="n">
        <f aca="false">S34*Assumptions!$B$9*Assumptions!$B$19</f>
        <v>7500</v>
      </c>
      <c r="Y34" s="18" t="n">
        <f aca="false">W34+X34</f>
        <v>54786.7361037894</v>
      </c>
      <c r="Z34" s="18" t="n">
        <f aca="false">S34*Assumptions!$B$9</f>
        <v>300000</v>
      </c>
      <c r="AA34" s="17" t="n">
        <f aca="false">Q34*Assumptions!$B$13*Assumptions!$B$14*8760/1000</f>
        <v>5.68733318165928</v>
      </c>
      <c r="AB34" s="17" t="n">
        <f aca="false">Q34*Assumptions!$B$13*8760*1000*Assumptions!$B$15/1233481.8</f>
        <v>2.12805977917118</v>
      </c>
    </row>
    <row r="35" customFormat="false" ht="15" hidden="false" customHeight="false" outlineLevel="0" collapsed="false">
      <c r="A35" s="2" t="s">
        <v>254</v>
      </c>
      <c r="B35" s="2" t="s">
        <v>255</v>
      </c>
      <c r="C35" s="2" t="s">
        <v>256</v>
      </c>
      <c r="D35" s="2" t="s">
        <v>155</v>
      </c>
      <c r="E35" s="2" t="s">
        <v>127</v>
      </c>
      <c r="F35" s="2" t="s">
        <v>234</v>
      </c>
      <c r="G35" s="13" t="n">
        <v>11</v>
      </c>
      <c r="H35" s="13" t="s">
        <v>129</v>
      </c>
      <c r="I35" s="14" t="n">
        <v>2</v>
      </c>
      <c r="J35" s="13" t="n">
        <v>0</v>
      </c>
      <c r="K35" s="13" t="n">
        <v>0</v>
      </c>
      <c r="L35" s="13" t="n">
        <v>0</v>
      </c>
      <c r="M35" s="15" t="n">
        <v>0.007</v>
      </c>
      <c r="N35" s="15" t="n">
        <v>0.028</v>
      </c>
      <c r="O35" s="13" t="n">
        <v>11</v>
      </c>
      <c r="P35" s="16" t="n">
        <f aca="false">IF(H35="operating",I35*Facilities!$Z$118,0)</f>
        <v>0.665886100182564</v>
      </c>
      <c r="Q35" s="16" t="n">
        <f aca="false">IF(H35="operating",P35,IF(OR(H35="under construction",H35="approved/planned",H35="proposed"),I35,0))</f>
        <v>0.665886100182564</v>
      </c>
      <c r="R35" s="16" t="n">
        <f aca="false">Q35</f>
        <v>0.665886100182564</v>
      </c>
      <c r="S35" s="17" t="n">
        <f aca="false">IF(H35="cancelled/withdrawn",0,IF(K35&gt;0,K35,IF(AND(H35="operating",I35&gt;0,I35&lt;=2),MAX(3,Q35*IF(J35=1,Assumptions!$B$6,Assumptions!$B$7)),Q35*IF(J35=1,Assumptions!$B$6,Assumptions!$B$7))))</f>
        <v>3</v>
      </c>
      <c r="T35" s="17" t="n">
        <f aca="false">S35*Assumptions!$B$8</f>
        <v>5.67</v>
      </c>
      <c r="U35" s="17" t="n">
        <f aca="false">R35*Assumptions!$B$2/1000000*Assumptions!$B$4</f>
        <v>18.8112823301574</v>
      </c>
      <c r="V35" s="18" t="n">
        <f aca="false">R35*Assumptions!$B$2*Assumptions!$B$18*(Assumptions!$B$17+M35+N35)</f>
        <v>445074.939931525</v>
      </c>
      <c r="W35" s="18" t="n">
        <f aca="false">Q35*Assumptions!$B$2*Assumptions!$B$10*Assumptions!$B$11*O35/100+Q35*Assumptions!$B$3*Assumptions!$B$12*Assumptions!$B$11*O35/100</f>
        <v>47286.7361037894</v>
      </c>
      <c r="X35" s="18" t="n">
        <f aca="false">S35*Assumptions!$B$9*Assumptions!$B$19</f>
        <v>7500</v>
      </c>
      <c r="Y35" s="18" t="n">
        <f aca="false">W35+X35</f>
        <v>54786.7361037894</v>
      </c>
      <c r="Z35" s="18" t="n">
        <f aca="false">S35*Assumptions!$B$9</f>
        <v>300000</v>
      </c>
      <c r="AA35" s="17" t="n">
        <f aca="false">Q35*Assumptions!$B$13*Assumptions!$B$14*8760/1000</f>
        <v>5.68733318165928</v>
      </c>
      <c r="AB35" s="17" t="n">
        <f aca="false">Q35*Assumptions!$B$13*8760*1000*Assumptions!$B$15/1233481.8</f>
        <v>2.12805977917118</v>
      </c>
    </row>
    <row r="36" customFormat="false" ht="15" hidden="false" customHeight="false" outlineLevel="0" collapsed="false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127</v>
      </c>
      <c r="F36" s="2" t="s">
        <v>234</v>
      </c>
      <c r="G36" s="13" t="n">
        <v>11</v>
      </c>
      <c r="H36" s="13" t="s">
        <v>129</v>
      </c>
      <c r="I36" s="14" t="n">
        <v>2</v>
      </c>
      <c r="J36" s="13" t="n">
        <v>0</v>
      </c>
      <c r="K36" s="13" t="n">
        <v>0</v>
      </c>
      <c r="L36" s="13" t="n">
        <v>0</v>
      </c>
      <c r="M36" s="15" t="n">
        <v>0.007</v>
      </c>
      <c r="N36" s="15" t="n">
        <v>0.028</v>
      </c>
      <c r="O36" s="13" t="n">
        <v>11</v>
      </c>
      <c r="P36" s="16" t="n">
        <f aca="false">IF(H36="operating",I36*Facilities!$Z$118,0)</f>
        <v>0.665886100182564</v>
      </c>
      <c r="Q36" s="16" t="n">
        <f aca="false">IF(H36="operating",P36,IF(OR(H36="under construction",H36="approved/planned",H36="proposed"),I36,0))</f>
        <v>0.665886100182564</v>
      </c>
      <c r="R36" s="16" t="n">
        <f aca="false">Q36</f>
        <v>0.665886100182564</v>
      </c>
      <c r="S36" s="17" t="n">
        <f aca="false">IF(H36="cancelled/withdrawn",0,IF(K36&gt;0,K36,IF(AND(H36="operating",I36&gt;0,I36&lt;=2),MAX(3,Q36*IF(J36=1,Assumptions!$B$6,Assumptions!$B$7)),Q36*IF(J36=1,Assumptions!$B$6,Assumptions!$B$7))))</f>
        <v>3</v>
      </c>
      <c r="T36" s="17" t="n">
        <f aca="false">S36*Assumptions!$B$8</f>
        <v>5.67</v>
      </c>
      <c r="U36" s="17" t="n">
        <f aca="false">R36*Assumptions!$B$2/1000000*Assumptions!$B$4</f>
        <v>18.8112823301574</v>
      </c>
      <c r="V36" s="18" t="n">
        <f aca="false">R36*Assumptions!$B$2*Assumptions!$B$18*(Assumptions!$B$17+M36+N36)</f>
        <v>445074.939931525</v>
      </c>
      <c r="W36" s="18" t="n">
        <f aca="false">Q36*Assumptions!$B$2*Assumptions!$B$10*Assumptions!$B$11*O36/100+Q36*Assumptions!$B$3*Assumptions!$B$12*Assumptions!$B$11*O36/100</f>
        <v>47286.7361037894</v>
      </c>
      <c r="X36" s="18" t="n">
        <f aca="false">S36*Assumptions!$B$9*Assumptions!$B$19</f>
        <v>7500</v>
      </c>
      <c r="Y36" s="18" t="n">
        <f aca="false">W36+X36</f>
        <v>54786.7361037894</v>
      </c>
      <c r="Z36" s="18" t="n">
        <f aca="false">S36*Assumptions!$B$9</f>
        <v>300000</v>
      </c>
      <c r="AA36" s="17" t="n">
        <f aca="false">Q36*Assumptions!$B$13*Assumptions!$B$14*8760/1000</f>
        <v>5.68733318165928</v>
      </c>
      <c r="AB36" s="17" t="n">
        <f aca="false">Q36*Assumptions!$B$13*8760*1000*Assumptions!$B$15/1233481.8</f>
        <v>2.12805977917118</v>
      </c>
    </row>
    <row r="37" customFormat="false" ht="15" hidden="false" customHeight="false" outlineLevel="0" collapsed="false">
      <c r="A37" s="2" t="s">
        <v>260</v>
      </c>
      <c r="B37" s="2" t="s">
        <v>261</v>
      </c>
      <c r="C37" s="2" t="s">
        <v>262</v>
      </c>
      <c r="D37" s="2" t="s">
        <v>222</v>
      </c>
      <c r="E37" s="2" t="s">
        <v>127</v>
      </c>
      <c r="F37" s="2" t="s">
        <v>234</v>
      </c>
      <c r="G37" s="13" t="n">
        <v>8</v>
      </c>
      <c r="H37" s="13" t="s">
        <v>129</v>
      </c>
      <c r="I37" s="14" t="n">
        <v>2</v>
      </c>
      <c r="J37" s="13" t="n">
        <v>0</v>
      </c>
      <c r="K37" s="13" t="n">
        <v>0</v>
      </c>
      <c r="L37" s="13" t="n">
        <v>0</v>
      </c>
      <c r="M37" s="15" t="n">
        <v>0.007</v>
      </c>
      <c r="N37" s="15" t="n">
        <v>0.0175</v>
      </c>
      <c r="O37" s="13" t="n">
        <v>10.5</v>
      </c>
      <c r="P37" s="16" t="n">
        <f aca="false">IF(H37="operating",I37*Facilities!$Z$118,0)</f>
        <v>0.665886100182564</v>
      </c>
      <c r="Q37" s="16" t="n">
        <f aca="false">IF(H37="operating",P37,IF(OR(H37="under construction",H37="approved/planned",H37="proposed"),I37,0))</f>
        <v>0.665886100182564</v>
      </c>
      <c r="R37" s="16" t="n">
        <f aca="false">Q37</f>
        <v>0.665886100182564</v>
      </c>
      <c r="S37" s="17" t="n">
        <f aca="false">IF(H37="cancelled/withdrawn",0,IF(K37&gt;0,K37,IF(AND(H37="operating",I37&gt;0,I37&lt;=2),MAX(3,Q37*IF(J37=1,Assumptions!$B$6,Assumptions!$B$7)),Q37*IF(J37=1,Assumptions!$B$6,Assumptions!$B$7))))</f>
        <v>3</v>
      </c>
      <c r="T37" s="17" t="n">
        <f aca="false">S37*Assumptions!$B$8</f>
        <v>5.67</v>
      </c>
      <c r="U37" s="17" t="n">
        <f aca="false">R37*Assumptions!$B$2/1000000*Assumptions!$B$4</f>
        <v>18.8112823301574</v>
      </c>
      <c r="V37" s="18" t="n">
        <f aca="false">R37*Assumptions!$B$2*Assumptions!$B$18*(Assumptions!$B$17+M37+N37)</f>
        <v>393720.139170195</v>
      </c>
      <c r="W37" s="18" t="n">
        <f aca="false">Q37*Assumptions!$B$2*Assumptions!$B$10*Assumptions!$B$11*O37/100+Q37*Assumptions!$B$3*Assumptions!$B$12*Assumptions!$B$11*O37/100</f>
        <v>45137.3390081627</v>
      </c>
      <c r="X37" s="18" t="n">
        <f aca="false">S37*Assumptions!$B$9*Assumptions!$B$19</f>
        <v>7500</v>
      </c>
      <c r="Y37" s="18" t="n">
        <f aca="false">W37+X37</f>
        <v>52637.3390081627</v>
      </c>
      <c r="Z37" s="18" t="n">
        <f aca="false">S37*Assumptions!$B$9</f>
        <v>300000</v>
      </c>
      <c r="AA37" s="17" t="n">
        <f aca="false">Q37*Assumptions!$B$13*Assumptions!$B$14*8760/1000</f>
        <v>5.68733318165928</v>
      </c>
      <c r="AB37" s="17" t="n">
        <f aca="false">Q37*Assumptions!$B$13*8760*1000*Assumptions!$B$15/1233481.8</f>
        <v>2.12805977917118</v>
      </c>
    </row>
    <row r="38" customFormat="false" ht="15" hidden="false" customHeight="false" outlineLevel="0" collapsed="false">
      <c r="A38" s="2" t="s">
        <v>263</v>
      </c>
      <c r="B38" s="2" t="s">
        <v>264</v>
      </c>
      <c r="C38" s="2" t="s">
        <v>265</v>
      </c>
      <c r="D38" s="2" t="s">
        <v>222</v>
      </c>
      <c r="E38" s="2" t="s">
        <v>127</v>
      </c>
      <c r="F38" s="2" t="s">
        <v>234</v>
      </c>
      <c r="G38" s="13" t="n">
        <v>8</v>
      </c>
      <c r="H38" s="13" t="s">
        <v>129</v>
      </c>
      <c r="I38" s="14" t="n">
        <v>2</v>
      </c>
      <c r="J38" s="13" t="n">
        <v>0</v>
      </c>
      <c r="K38" s="13" t="n">
        <v>0</v>
      </c>
      <c r="L38" s="13" t="n">
        <v>0</v>
      </c>
      <c r="M38" s="15" t="n">
        <v>0.007</v>
      </c>
      <c r="N38" s="15" t="n">
        <v>0.0175</v>
      </c>
      <c r="O38" s="13" t="n">
        <v>10.5</v>
      </c>
      <c r="P38" s="16" t="n">
        <f aca="false">IF(H38="operating",I38*Facilities!$Z$118,0)</f>
        <v>0.665886100182564</v>
      </c>
      <c r="Q38" s="16" t="n">
        <f aca="false">IF(H38="operating",P38,IF(OR(H38="under construction",H38="approved/planned",H38="proposed"),I38,0))</f>
        <v>0.665886100182564</v>
      </c>
      <c r="R38" s="16" t="n">
        <f aca="false">Q38</f>
        <v>0.665886100182564</v>
      </c>
      <c r="S38" s="17" t="n">
        <f aca="false">IF(H38="cancelled/withdrawn",0,IF(K38&gt;0,K38,IF(AND(H38="operating",I38&gt;0,I38&lt;=2),MAX(3,Q38*IF(J38=1,Assumptions!$B$6,Assumptions!$B$7)),Q38*IF(J38=1,Assumptions!$B$6,Assumptions!$B$7))))</f>
        <v>3</v>
      </c>
      <c r="T38" s="17" t="n">
        <f aca="false">S38*Assumptions!$B$8</f>
        <v>5.67</v>
      </c>
      <c r="U38" s="17" t="n">
        <f aca="false">R38*Assumptions!$B$2/1000000*Assumptions!$B$4</f>
        <v>18.8112823301574</v>
      </c>
      <c r="V38" s="18" t="n">
        <f aca="false">R38*Assumptions!$B$2*Assumptions!$B$18*(Assumptions!$B$17+M38+N38)</f>
        <v>393720.139170195</v>
      </c>
      <c r="W38" s="18" t="n">
        <f aca="false">Q38*Assumptions!$B$2*Assumptions!$B$10*Assumptions!$B$11*O38/100+Q38*Assumptions!$B$3*Assumptions!$B$12*Assumptions!$B$11*O38/100</f>
        <v>45137.3390081627</v>
      </c>
      <c r="X38" s="18" t="n">
        <f aca="false">S38*Assumptions!$B$9*Assumptions!$B$19</f>
        <v>7500</v>
      </c>
      <c r="Y38" s="18" t="n">
        <f aca="false">W38+X38</f>
        <v>52637.3390081627</v>
      </c>
      <c r="Z38" s="18" t="n">
        <f aca="false">S38*Assumptions!$B$9</f>
        <v>300000</v>
      </c>
      <c r="AA38" s="17" t="n">
        <f aca="false">Q38*Assumptions!$B$13*Assumptions!$B$14*8760/1000</f>
        <v>5.68733318165928</v>
      </c>
      <c r="AB38" s="17" t="n">
        <f aca="false">Q38*Assumptions!$B$13*8760*1000*Assumptions!$B$15/1233481.8</f>
        <v>2.12805977917118</v>
      </c>
    </row>
    <row r="39" customFormat="false" ht="15" hidden="false" customHeight="false" outlineLevel="0" collapsed="false">
      <c r="A39" s="2" t="s">
        <v>266</v>
      </c>
      <c r="B39" s="2" t="s">
        <v>267</v>
      </c>
      <c r="C39" s="2" t="s">
        <v>268</v>
      </c>
      <c r="D39" s="2" t="s">
        <v>222</v>
      </c>
      <c r="E39" s="2" t="s">
        <v>127</v>
      </c>
      <c r="F39" s="2" t="s">
        <v>234</v>
      </c>
      <c r="G39" s="13" t="n">
        <v>8</v>
      </c>
      <c r="H39" s="13" t="s">
        <v>129</v>
      </c>
      <c r="I39" s="14" t="n">
        <v>2</v>
      </c>
      <c r="J39" s="13" t="n">
        <v>0</v>
      </c>
      <c r="K39" s="13" t="n">
        <v>0</v>
      </c>
      <c r="L39" s="13" t="n">
        <v>0</v>
      </c>
      <c r="M39" s="15" t="n">
        <v>0.007</v>
      </c>
      <c r="N39" s="15" t="n">
        <v>0.0175</v>
      </c>
      <c r="O39" s="13" t="n">
        <v>10.5</v>
      </c>
      <c r="P39" s="16" t="n">
        <f aca="false">IF(H39="operating",I39*Facilities!$Z$118,0)</f>
        <v>0.665886100182564</v>
      </c>
      <c r="Q39" s="16" t="n">
        <f aca="false">IF(H39="operating",P39,IF(OR(H39="under construction",H39="approved/planned",H39="proposed"),I39,0))</f>
        <v>0.665886100182564</v>
      </c>
      <c r="R39" s="16" t="n">
        <f aca="false">Q39</f>
        <v>0.665886100182564</v>
      </c>
      <c r="S39" s="17" t="n">
        <f aca="false">IF(H39="cancelled/withdrawn",0,IF(K39&gt;0,K39,IF(AND(H39="operating",I39&gt;0,I39&lt;=2),MAX(3,Q39*IF(J39=1,Assumptions!$B$6,Assumptions!$B$7)),Q39*IF(J39=1,Assumptions!$B$6,Assumptions!$B$7))))</f>
        <v>3</v>
      </c>
      <c r="T39" s="17" t="n">
        <f aca="false">S39*Assumptions!$B$8</f>
        <v>5.67</v>
      </c>
      <c r="U39" s="17" t="n">
        <f aca="false">R39*Assumptions!$B$2/1000000*Assumptions!$B$4</f>
        <v>18.8112823301574</v>
      </c>
      <c r="V39" s="18" t="n">
        <f aca="false">R39*Assumptions!$B$2*Assumptions!$B$18*(Assumptions!$B$17+M39+N39)</f>
        <v>393720.139170195</v>
      </c>
      <c r="W39" s="18" t="n">
        <f aca="false">Q39*Assumptions!$B$2*Assumptions!$B$10*Assumptions!$B$11*O39/100+Q39*Assumptions!$B$3*Assumptions!$B$12*Assumptions!$B$11*O39/100</f>
        <v>45137.3390081627</v>
      </c>
      <c r="X39" s="18" t="n">
        <f aca="false">S39*Assumptions!$B$9*Assumptions!$B$19</f>
        <v>7500</v>
      </c>
      <c r="Y39" s="18" t="n">
        <f aca="false">W39+X39</f>
        <v>52637.3390081627</v>
      </c>
      <c r="Z39" s="18" t="n">
        <f aca="false">S39*Assumptions!$B$9</f>
        <v>300000</v>
      </c>
      <c r="AA39" s="17" t="n">
        <f aca="false">Q39*Assumptions!$B$13*Assumptions!$B$14*8760/1000</f>
        <v>5.68733318165928</v>
      </c>
      <c r="AB39" s="17" t="n">
        <f aca="false">Q39*Assumptions!$B$13*8760*1000*Assumptions!$B$15/1233481.8</f>
        <v>2.12805977917118</v>
      </c>
    </row>
    <row r="40" customFormat="false" ht="15" hidden="false" customHeight="false" outlineLevel="0" collapsed="false">
      <c r="A40" s="2" t="s">
        <v>269</v>
      </c>
      <c r="B40" s="2" t="s">
        <v>270</v>
      </c>
      <c r="C40" s="2" t="s">
        <v>271</v>
      </c>
      <c r="D40" s="2" t="s">
        <v>199</v>
      </c>
      <c r="E40" s="2" t="s">
        <v>127</v>
      </c>
      <c r="F40" s="2" t="s">
        <v>234</v>
      </c>
      <c r="G40" s="13" t="n">
        <v>8</v>
      </c>
      <c r="H40" s="13" t="s">
        <v>129</v>
      </c>
      <c r="I40" s="14" t="n">
        <v>2</v>
      </c>
      <c r="J40" s="13" t="n">
        <v>0</v>
      </c>
      <c r="K40" s="13" t="n">
        <v>0</v>
      </c>
      <c r="L40" s="13" t="n">
        <v>0</v>
      </c>
      <c r="M40" s="15" t="n">
        <v>0.007</v>
      </c>
      <c r="N40" s="15" t="n">
        <v>0.018</v>
      </c>
      <c r="O40" s="13" t="n">
        <v>10.5</v>
      </c>
      <c r="P40" s="16" t="n">
        <f aca="false">IF(H40="operating",I40*Facilities!$Z$118,0)</f>
        <v>0.665886100182564</v>
      </c>
      <c r="Q40" s="16" t="n">
        <f aca="false">IF(H40="operating",P40,IF(OR(H40="under construction",H40="approved/planned",H40="proposed"),I40,0))</f>
        <v>0.665886100182564</v>
      </c>
      <c r="R40" s="16" t="n">
        <f aca="false">Q40</f>
        <v>0.665886100182564</v>
      </c>
      <c r="S40" s="17" t="n">
        <f aca="false">IF(H40="cancelled/withdrawn",0,IF(K40&gt;0,K40,IF(AND(H40="operating",I40&gt;0,I40&lt;=2),MAX(3,Q40*IF(J40=1,Assumptions!$B$6,Assumptions!$B$7)),Q40*IF(J40=1,Assumptions!$B$6,Assumptions!$B$7))))</f>
        <v>3</v>
      </c>
      <c r="T40" s="17" t="n">
        <f aca="false">S40*Assumptions!$B$8</f>
        <v>5.67</v>
      </c>
      <c r="U40" s="17" t="n">
        <f aca="false">R40*Assumptions!$B$2/1000000*Assumptions!$B$4</f>
        <v>18.8112823301574</v>
      </c>
      <c r="V40" s="18" t="n">
        <f aca="false">R40*Assumptions!$B$2*Assumptions!$B$18*(Assumptions!$B$17+M40+N40)</f>
        <v>396165.605873115</v>
      </c>
      <c r="W40" s="18" t="n">
        <f aca="false">Q40*Assumptions!$B$2*Assumptions!$B$10*Assumptions!$B$11*O40/100+Q40*Assumptions!$B$3*Assumptions!$B$12*Assumptions!$B$11*O40/100</f>
        <v>45137.3390081627</v>
      </c>
      <c r="X40" s="18" t="n">
        <f aca="false">S40*Assumptions!$B$9*Assumptions!$B$19</f>
        <v>7500</v>
      </c>
      <c r="Y40" s="18" t="n">
        <f aca="false">W40+X40</f>
        <v>52637.3390081627</v>
      </c>
      <c r="Z40" s="18" t="n">
        <f aca="false">S40*Assumptions!$B$9</f>
        <v>300000</v>
      </c>
      <c r="AA40" s="17" t="n">
        <f aca="false">Q40*Assumptions!$B$13*Assumptions!$B$14*8760/1000</f>
        <v>5.68733318165928</v>
      </c>
      <c r="AB40" s="17" t="n">
        <f aca="false">Q40*Assumptions!$B$13*8760*1000*Assumptions!$B$15/1233481.8</f>
        <v>2.12805977917118</v>
      </c>
    </row>
    <row r="41" customFormat="false" ht="15" hidden="false" customHeight="false" outlineLevel="0" collapsed="false">
      <c r="A41" s="2" t="s">
        <v>272</v>
      </c>
      <c r="B41" s="2" t="s">
        <v>273</v>
      </c>
      <c r="C41" s="2" t="s">
        <v>274</v>
      </c>
      <c r="D41" s="2" t="s">
        <v>199</v>
      </c>
      <c r="E41" s="2" t="s">
        <v>127</v>
      </c>
      <c r="F41" s="2" t="s">
        <v>234</v>
      </c>
      <c r="G41" s="13" t="n">
        <v>8</v>
      </c>
      <c r="H41" s="13" t="s">
        <v>129</v>
      </c>
      <c r="I41" s="14" t="n">
        <v>2</v>
      </c>
      <c r="J41" s="13" t="n">
        <v>0</v>
      </c>
      <c r="K41" s="13" t="n">
        <v>0</v>
      </c>
      <c r="L41" s="13" t="n">
        <v>0</v>
      </c>
      <c r="M41" s="15" t="n">
        <v>0.007</v>
      </c>
      <c r="N41" s="15" t="n">
        <v>0.018</v>
      </c>
      <c r="O41" s="13" t="n">
        <v>10.5</v>
      </c>
      <c r="P41" s="16" t="n">
        <f aca="false">IF(H41="operating",I41*Facilities!$Z$118,0)</f>
        <v>0.665886100182564</v>
      </c>
      <c r="Q41" s="16" t="n">
        <f aca="false">IF(H41="operating",P41,IF(OR(H41="under construction",H41="approved/planned",H41="proposed"),I41,0))</f>
        <v>0.665886100182564</v>
      </c>
      <c r="R41" s="16" t="n">
        <f aca="false">Q41</f>
        <v>0.665886100182564</v>
      </c>
      <c r="S41" s="17" t="n">
        <f aca="false">IF(H41="cancelled/withdrawn",0,IF(K41&gt;0,K41,IF(AND(H41="operating",I41&gt;0,I41&lt;=2),MAX(3,Q41*IF(J41=1,Assumptions!$B$6,Assumptions!$B$7)),Q41*IF(J41=1,Assumptions!$B$6,Assumptions!$B$7))))</f>
        <v>3</v>
      </c>
      <c r="T41" s="17" t="n">
        <f aca="false">S41*Assumptions!$B$8</f>
        <v>5.67</v>
      </c>
      <c r="U41" s="17" t="n">
        <f aca="false">R41*Assumptions!$B$2/1000000*Assumptions!$B$4</f>
        <v>18.8112823301574</v>
      </c>
      <c r="V41" s="18" t="n">
        <f aca="false">R41*Assumptions!$B$2*Assumptions!$B$18*(Assumptions!$B$17+M41+N41)</f>
        <v>396165.605873115</v>
      </c>
      <c r="W41" s="18" t="n">
        <f aca="false">Q41*Assumptions!$B$2*Assumptions!$B$10*Assumptions!$B$11*O41/100+Q41*Assumptions!$B$3*Assumptions!$B$12*Assumptions!$B$11*O41/100</f>
        <v>45137.3390081627</v>
      </c>
      <c r="X41" s="18" t="n">
        <f aca="false">S41*Assumptions!$B$9*Assumptions!$B$19</f>
        <v>7500</v>
      </c>
      <c r="Y41" s="18" t="n">
        <f aca="false">W41+X41</f>
        <v>52637.3390081627</v>
      </c>
      <c r="Z41" s="18" t="n">
        <f aca="false">S41*Assumptions!$B$9</f>
        <v>300000</v>
      </c>
      <c r="AA41" s="17" t="n">
        <f aca="false">Q41*Assumptions!$B$13*Assumptions!$B$14*8760/1000</f>
        <v>5.68733318165928</v>
      </c>
      <c r="AB41" s="17" t="n">
        <f aca="false">Q41*Assumptions!$B$13*8760*1000*Assumptions!$B$15/1233481.8</f>
        <v>2.12805977917118</v>
      </c>
    </row>
    <row r="42" customFormat="false" ht="15" hidden="false" customHeight="false" outlineLevel="0" collapsed="false">
      <c r="A42" s="2" t="s">
        <v>275</v>
      </c>
      <c r="B42" s="2" t="s">
        <v>276</v>
      </c>
      <c r="C42" s="2" t="s">
        <v>277</v>
      </c>
      <c r="D42" s="2" t="s">
        <v>168</v>
      </c>
      <c r="E42" s="2" t="s">
        <v>127</v>
      </c>
      <c r="F42" s="2" t="s">
        <v>234</v>
      </c>
      <c r="G42" s="13" t="n">
        <v>13</v>
      </c>
      <c r="H42" s="13" t="s">
        <v>129</v>
      </c>
      <c r="I42" s="14" t="n">
        <v>2</v>
      </c>
      <c r="J42" s="13" t="n">
        <v>0</v>
      </c>
      <c r="K42" s="13" t="n">
        <v>0</v>
      </c>
      <c r="L42" s="13" t="n">
        <v>0</v>
      </c>
      <c r="M42" s="15" t="n">
        <v>0.007</v>
      </c>
      <c r="N42" s="15" t="n">
        <v>0.015</v>
      </c>
      <c r="O42" s="13" t="n">
        <v>9.37</v>
      </c>
      <c r="P42" s="16" t="n">
        <f aca="false">IF(H42="operating",I42*Facilities!$Z$118,0)</f>
        <v>0.665886100182564</v>
      </c>
      <c r="Q42" s="16" t="n">
        <f aca="false">IF(H42="operating",P42,IF(OR(H42="under construction",H42="approved/planned",H42="proposed"),I42,0))</f>
        <v>0.665886100182564</v>
      </c>
      <c r="R42" s="16" t="n">
        <f aca="false">Q42</f>
        <v>0.665886100182564</v>
      </c>
      <c r="S42" s="17" t="n">
        <f aca="false">IF(H42="cancelled/withdrawn",0,IF(K42&gt;0,K42,IF(AND(H42="operating",I42&gt;0,I42&lt;=2),MAX(3,Q42*IF(J42=1,Assumptions!$B$6,Assumptions!$B$7)),Q42*IF(J42=1,Assumptions!$B$6,Assumptions!$B$7))))</f>
        <v>3</v>
      </c>
      <c r="T42" s="17" t="n">
        <f aca="false">S42*Assumptions!$B$8</f>
        <v>5.67</v>
      </c>
      <c r="U42" s="17" t="n">
        <f aca="false">R42*Assumptions!$B$2/1000000*Assumptions!$B$4</f>
        <v>18.8112823301574</v>
      </c>
      <c r="V42" s="18" t="n">
        <f aca="false">R42*Assumptions!$B$2*Assumptions!$B$18*(Assumptions!$B$17+M42+N42)</f>
        <v>381492.805655593</v>
      </c>
      <c r="W42" s="18" t="n">
        <f aca="false">Q42*Assumptions!$B$2*Assumptions!$B$10*Assumptions!$B$11*O42/100+Q42*Assumptions!$B$3*Assumptions!$B$12*Assumptions!$B$11*O42/100</f>
        <v>40279.7015720461</v>
      </c>
      <c r="X42" s="18" t="n">
        <f aca="false">S42*Assumptions!$B$9*Assumptions!$B$19</f>
        <v>7500</v>
      </c>
      <c r="Y42" s="18" t="n">
        <f aca="false">W42+X42</f>
        <v>47779.7015720461</v>
      </c>
      <c r="Z42" s="18" t="n">
        <f aca="false">S42*Assumptions!$B$9</f>
        <v>300000</v>
      </c>
      <c r="AA42" s="17" t="n">
        <f aca="false">Q42*Assumptions!$B$13*Assumptions!$B$14*8760/1000</f>
        <v>5.68733318165928</v>
      </c>
      <c r="AB42" s="17" t="n">
        <f aca="false">Q42*Assumptions!$B$13*8760*1000*Assumptions!$B$15/1233481.8</f>
        <v>2.12805977917118</v>
      </c>
    </row>
    <row r="43" customFormat="false" ht="15" hidden="false" customHeight="false" outlineLevel="0" collapsed="false">
      <c r="A43" s="2" t="s">
        <v>278</v>
      </c>
      <c r="B43" s="2" t="s">
        <v>279</v>
      </c>
      <c r="C43" s="2" t="s">
        <v>280</v>
      </c>
      <c r="D43" s="2" t="s">
        <v>155</v>
      </c>
      <c r="E43" s="2" t="s">
        <v>127</v>
      </c>
      <c r="F43" s="2" t="s">
        <v>234</v>
      </c>
      <c r="G43" s="13" t="n">
        <v>11</v>
      </c>
      <c r="H43" s="13" t="s">
        <v>129</v>
      </c>
      <c r="I43" s="14" t="n">
        <v>2</v>
      </c>
      <c r="J43" s="13" t="n">
        <v>0</v>
      </c>
      <c r="K43" s="13" t="n">
        <v>0</v>
      </c>
      <c r="L43" s="13" t="n">
        <v>0</v>
      </c>
      <c r="M43" s="15" t="n">
        <v>0.007</v>
      </c>
      <c r="N43" s="15" t="n">
        <v>0.028</v>
      </c>
      <c r="O43" s="13" t="n">
        <v>11</v>
      </c>
      <c r="P43" s="16" t="n">
        <f aca="false">IF(H43="operating",I43*Facilities!$Z$118,0)</f>
        <v>0.665886100182564</v>
      </c>
      <c r="Q43" s="16" t="n">
        <f aca="false">IF(H43="operating",P43,IF(OR(H43="under construction",H43="approved/planned",H43="proposed"),I43,0))</f>
        <v>0.665886100182564</v>
      </c>
      <c r="R43" s="16" t="n">
        <f aca="false">Q43</f>
        <v>0.665886100182564</v>
      </c>
      <c r="S43" s="17" t="n">
        <f aca="false">IF(H43="cancelled/withdrawn",0,IF(K43&gt;0,K43,IF(AND(H43="operating",I43&gt;0,I43&lt;=2),MAX(3,Q43*IF(J43=1,Assumptions!$B$6,Assumptions!$B$7)),Q43*IF(J43=1,Assumptions!$B$6,Assumptions!$B$7))))</f>
        <v>3</v>
      </c>
      <c r="T43" s="17" t="n">
        <f aca="false">S43*Assumptions!$B$8</f>
        <v>5.67</v>
      </c>
      <c r="U43" s="17" t="n">
        <f aca="false">R43*Assumptions!$B$2/1000000*Assumptions!$B$4</f>
        <v>18.8112823301574</v>
      </c>
      <c r="V43" s="18" t="n">
        <f aca="false">R43*Assumptions!$B$2*Assumptions!$B$18*(Assumptions!$B$17+M43+N43)</f>
        <v>445074.939931525</v>
      </c>
      <c r="W43" s="18" t="n">
        <f aca="false">Q43*Assumptions!$B$2*Assumptions!$B$10*Assumptions!$B$11*O43/100+Q43*Assumptions!$B$3*Assumptions!$B$12*Assumptions!$B$11*O43/100</f>
        <v>47286.7361037894</v>
      </c>
      <c r="X43" s="18" t="n">
        <f aca="false">S43*Assumptions!$B$9*Assumptions!$B$19</f>
        <v>7500</v>
      </c>
      <c r="Y43" s="18" t="n">
        <f aca="false">W43+X43</f>
        <v>54786.7361037894</v>
      </c>
      <c r="Z43" s="18" t="n">
        <f aca="false">S43*Assumptions!$B$9</f>
        <v>300000</v>
      </c>
      <c r="AA43" s="17" t="n">
        <f aca="false">Q43*Assumptions!$B$13*Assumptions!$B$14*8760/1000</f>
        <v>5.68733318165928</v>
      </c>
      <c r="AB43" s="17" t="n">
        <f aca="false">Q43*Assumptions!$B$13*8760*1000*Assumptions!$B$15/1233481.8</f>
        <v>2.12805977917118</v>
      </c>
    </row>
    <row r="44" customFormat="false" ht="15" hidden="false" customHeight="false" outlineLevel="0" collapsed="false">
      <c r="A44" s="2" t="s">
        <v>281</v>
      </c>
      <c r="B44" s="2" t="s">
        <v>282</v>
      </c>
      <c r="C44" s="2" t="s">
        <v>283</v>
      </c>
      <c r="D44" s="2" t="s">
        <v>155</v>
      </c>
      <c r="E44" s="2" t="s">
        <v>127</v>
      </c>
      <c r="F44" s="2" t="s">
        <v>234</v>
      </c>
      <c r="G44" s="13" t="n">
        <v>11</v>
      </c>
      <c r="H44" s="13" t="s">
        <v>129</v>
      </c>
      <c r="I44" s="14" t="n">
        <v>2</v>
      </c>
      <c r="J44" s="13" t="n">
        <v>0</v>
      </c>
      <c r="K44" s="13" t="n">
        <v>0</v>
      </c>
      <c r="L44" s="13" t="n">
        <v>0</v>
      </c>
      <c r="M44" s="15" t="n">
        <v>0.007</v>
      </c>
      <c r="N44" s="15" t="n">
        <v>0.028</v>
      </c>
      <c r="O44" s="13" t="n">
        <v>11</v>
      </c>
      <c r="P44" s="16" t="n">
        <f aca="false">IF(H44="operating",I44*Facilities!$Z$118,0)</f>
        <v>0.665886100182564</v>
      </c>
      <c r="Q44" s="16" t="n">
        <f aca="false">IF(H44="operating",P44,IF(OR(H44="under construction",H44="approved/planned",H44="proposed"),I44,0))</f>
        <v>0.665886100182564</v>
      </c>
      <c r="R44" s="16" t="n">
        <f aca="false">Q44</f>
        <v>0.665886100182564</v>
      </c>
      <c r="S44" s="17" t="n">
        <f aca="false">IF(H44="cancelled/withdrawn",0,IF(K44&gt;0,K44,IF(AND(H44="operating",I44&gt;0,I44&lt;=2),MAX(3,Q44*IF(J44=1,Assumptions!$B$6,Assumptions!$B$7)),Q44*IF(J44=1,Assumptions!$B$6,Assumptions!$B$7))))</f>
        <v>3</v>
      </c>
      <c r="T44" s="17" t="n">
        <f aca="false">S44*Assumptions!$B$8</f>
        <v>5.67</v>
      </c>
      <c r="U44" s="17" t="n">
        <f aca="false">R44*Assumptions!$B$2/1000000*Assumptions!$B$4</f>
        <v>18.8112823301574</v>
      </c>
      <c r="V44" s="18" t="n">
        <f aca="false">R44*Assumptions!$B$2*Assumptions!$B$18*(Assumptions!$B$17+M44+N44)</f>
        <v>445074.939931525</v>
      </c>
      <c r="W44" s="18" t="n">
        <f aca="false">Q44*Assumptions!$B$2*Assumptions!$B$10*Assumptions!$B$11*O44/100+Q44*Assumptions!$B$3*Assumptions!$B$12*Assumptions!$B$11*O44/100</f>
        <v>47286.7361037894</v>
      </c>
      <c r="X44" s="18" t="n">
        <f aca="false">S44*Assumptions!$B$9*Assumptions!$B$19</f>
        <v>7500</v>
      </c>
      <c r="Y44" s="18" t="n">
        <f aca="false">W44+X44</f>
        <v>54786.7361037894</v>
      </c>
      <c r="Z44" s="18" t="n">
        <f aca="false">S44*Assumptions!$B$9</f>
        <v>300000</v>
      </c>
      <c r="AA44" s="17" t="n">
        <f aca="false">Q44*Assumptions!$B$13*Assumptions!$B$14*8760/1000</f>
        <v>5.68733318165928</v>
      </c>
      <c r="AB44" s="17" t="n">
        <f aca="false">Q44*Assumptions!$B$13*8760*1000*Assumptions!$B$15/1233481.8</f>
        <v>2.12805977917118</v>
      </c>
    </row>
    <row r="45" customFormat="false" ht="15" hidden="false" customHeight="false" outlineLevel="0" collapsed="false">
      <c r="A45" s="2" t="s">
        <v>284</v>
      </c>
      <c r="B45" s="2" t="s">
        <v>285</v>
      </c>
      <c r="C45" s="2" t="s">
        <v>286</v>
      </c>
      <c r="D45" s="2" t="s">
        <v>155</v>
      </c>
      <c r="E45" s="2" t="s">
        <v>127</v>
      </c>
      <c r="F45" s="2" t="s">
        <v>234</v>
      </c>
      <c r="G45" s="13" t="n">
        <v>11</v>
      </c>
      <c r="H45" s="13" t="s">
        <v>129</v>
      </c>
      <c r="I45" s="14" t="n">
        <v>2</v>
      </c>
      <c r="J45" s="13" t="n">
        <v>0</v>
      </c>
      <c r="K45" s="13" t="n">
        <v>0</v>
      </c>
      <c r="L45" s="13" t="n">
        <v>0</v>
      </c>
      <c r="M45" s="15" t="n">
        <v>0.007</v>
      </c>
      <c r="N45" s="15" t="n">
        <v>0.028</v>
      </c>
      <c r="O45" s="13" t="n">
        <v>11</v>
      </c>
      <c r="P45" s="16" t="n">
        <f aca="false">IF(H45="operating",I45*Facilities!$Z$118,0)</f>
        <v>0.665886100182564</v>
      </c>
      <c r="Q45" s="16" t="n">
        <f aca="false">IF(H45="operating",P45,IF(OR(H45="under construction",H45="approved/planned",H45="proposed"),I45,0))</f>
        <v>0.665886100182564</v>
      </c>
      <c r="R45" s="16" t="n">
        <f aca="false">Q45</f>
        <v>0.665886100182564</v>
      </c>
      <c r="S45" s="17" t="n">
        <f aca="false">IF(H45="cancelled/withdrawn",0,IF(K45&gt;0,K45,IF(AND(H45="operating",I45&gt;0,I45&lt;=2),MAX(3,Q45*IF(J45=1,Assumptions!$B$6,Assumptions!$B$7)),Q45*IF(J45=1,Assumptions!$B$6,Assumptions!$B$7))))</f>
        <v>3</v>
      </c>
      <c r="T45" s="17" t="n">
        <f aca="false">S45*Assumptions!$B$8</f>
        <v>5.67</v>
      </c>
      <c r="U45" s="17" t="n">
        <f aca="false">R45*Assumptions!$B$2/1000000*Assumptions!$B$4</f>
        <v>18.8112823301574</v>
      </c>
      <c r="V45" s="18" t="n">
        <f aca="false">R45*Assumptions!$B$2*Assumptions!$B$18*(Assumptions!$B$17+M45+N45)</f>
        <v>445074.939931525</v>
      </c>
      <c r="W45" s="18" t="n">
        <f aca="false">Q45*Assumptions!$B$2*Assumptions!$B$10*Assumptions!$B$11*O45/100+Q45*Assumptions!$B$3*Assumptions!$B$12*Assumptions!$B$11*O45/100</f>
        <v>47286.7361037894</v>
      </c>
      <c r="X45" s="18" t="n">
        <f aca="false">S45*Assumptions!$B$9*Assumptions!$B$19</f>
        <v>7500</v>
      </c>
      <c r="Y45" s="18" t="n">
        <f aca="false">W45+X45</f>
        <v>54786.7361037894</v>
      </c>
      <c r="Z45" s="18" t="n">
        <f aca="false">S45*Assumptions!$B$9</f>
        <v>300000</v>
      </c>
      <c r="AA45" s="17" t="n">
        <f aca="false">Q45*Assumptions!$B$13*Assumptions!$B$14*8760/1000</f>
        <v>5.68733318165928</v>
      </c>
      <c r="AB45" s="17" t="n">
        <f aca="false">Q45*Assumptions!$B$13*8760*1000*Assumptions!$B$15/1233481.8</f>
        <v>2.12805977917118</v>
      </c>
    </row>
    <row r="46" customFormat="false" ht="15" hidden="false" customHeight="false" outlineLevel="0" collapsed="false">
      <c r="A46" s="2" t="s">
        <v>287</v>
      </c>
      <c r="B46" s="2" t="s">
        <v>288</v>
      </c>
      <c r="C46" s="2" t="s">
        <v>289</v>
      </c>
      <c r="D46" s="2" t="s">
        <v>155</v>
      </c>
      <c r="E46" s="2" t="s">
        <v>127</v>
      </c>
      <c r="F46" s="2" t="s">
        <v>234</v>
      </c>
      <c r="G46" s="13" t="n">
        <v>11</v>
      </c>
      <c r="H46" s="13" t="s">
        <v>129</v>
      </c>
      <c r="I46" s="14" t="n">
        <v>2</v>
      </c>
      <c r="J46" s="13" t="n">
        <v>0</v>
      </c>
      <c r="K46" s="13" t="n">
        <v>0</v>
      </c>
      <c r="L46" s="13" t="n">
        <v>0</v>
      </c>
      <c r="M46" s="15" t="n">
        <v>0.007</v>
      </c>
      <c r="N46" s="15" t="n">
        <v>0.028</v>
      </c>
      <c r="O46" s="13" t="n">
        <v>11</v>
      </c>
      <c r="P46" s="16" t="n">
        <f aca="false">IF(H46="operating",I46*Facilities!$Z$118,0)</f>
        <v>0.665886100182564</v>
      </c>
      <c r="Q46" s="16" t="n">
        <f aca="false">IF(H46="operating",P46,IF(OR(H46="under construction",H46="approved/planned",H46="proposed"),I46,0))</f>
        <v>0.665886100182564</v>
      </c>
      <c r="R46" s="16" t="n">
        <f aca="false">Q46</f>
        <v>0.665886100182564</v>
      </c>
      <c r="S46" s="17" t="n">
        <f aca="false">IF(H46="cancelled/withdrawn",0,IF(K46&gt;0,K46,IF(AND(H46="operating",I46&gt;0,I46&lt;=2),MAX(3,Q46*IF(J46=1,Assumptions!$B$6,Assumptions!$B$7)),Q46*IF(J46=1,Assumptions!$B$6,Assumptions!$B$7))))</f>
        <v>3</v>
      </c>
      <c r="T46" s="17" t="n">
        <f aca="false">S46*Assumptions!$B$8</f>
        <v>5.67</v>
      </c>
      <c r="U46" s="17" t="n">
        <f aca="false">R46*Assumptions!$B$2/1000000*Assumptions!$B$4</f>
        <v>18.8112823301574</v>
      </c>
      <c r="V46" s="18" t="n">
        <f aca="false">R46*Assumptions!$B$2*Assumptions!$B$18*(Assumptions!$B$17+M46+N46)</f>
        <v>445074.939931525</v>
      </c>
      <c r="W46" s="18" t="n">
        <f aca="false">Q46*Assumptions!$B$2*Assumptions!$B$10*Assumptions!$B$11*O46/100+Q46*Assumptions!$B$3*Assumptions!$B$12*Assumptions!$B$11*O46/100</f>
        <v>47286.7361037894</v>
      </c>
      <c r="X46" s="18" t="n">
        <f aca="false">S46*Assumptions!$B$9*Assumptions!$B$19</f>
        <v>7500</v>
      </c>
      <c r="Y46" s="18" t="n">
        <f aca="false">W46+X46</f>
        <v>54786.7361037894</v>
      </c>
      <c r="Z46" s="18" t="n">
        <f aca="false">S46*Assumptions!$B$9</f>
        <v>300000</v>
      </c>
      <c r="AA46" s="17" t="n">
        <f aca="false">Q46*Assumptions!$B$13*Assumptions!$B$14*8760/1000</f>
        <v>5.68733318165928</v>
      </c>
      <c r="AB46" s="17" t="n">
        <f aca="false">Q46*Assumptions!$B$13*8760*1000*Assumptions!$B$15/1233481.8</f>
        <v>2.12805977917118</v>
      </c>
    </row>
    <row r="47" customFormat="false" ht="15" hidden="false" customHeight="false" outlineLevel="0" collapsed="false">
      <c r="A47" s="2" t="s">
        <v>290</v>
      </c>
      <c r="B47" s="2" t="s">
        <v>291</v>
      </c>
      <c r="C47" s="2" t="s">
        <v>292</v>
      </c>
      <c r="D47" s="2" t="s">
        <v>155</v>
      </c>
      <c r="E47" s="2" t="s">
        <v>127</v>
      </c>
      <c r="F47" s="2" t="s">
        <v>234</v>
      </c>
      <c r="G47" s="13" t="n">
        <v>11</v>
      </c>
      <c r="H47" s="13" t="s">
        <v>129</v>
      </c>
      <c r="I47" s="14" t="n">
        <v>2</v>
      </c>
      <c r="J47" s="13" t="n">
        <v>0</v>
      </c>
      <c r="K47" s="13" t="n">
        <v>0</v>
      </c>
      <c r="L47" s="13" t="n">
        <v>0</v>
      </c>
      <c r="M47" s="15" t="n">
        <v>0.007</v>
      </c>
      <c r="N47" s="15" t="n">
        <v>0.028</v>
      </c>
      <c r="O47" s="13" t="n">
        <v>11</v>
      </c>
      <c r="P47" s="16" t="n">
        <f aca="false">IF(H47="operating",I47*Facilities!$Z$118,0)</f>
        <v>0.665886100182564</v>
      </c>
      <c r="Q47" s="16" t="n">
        <f aca="false">IF(H47="operating",P47,IF(OR(H47="under construction",H47="approved/planned",H47="proposed"),I47,0))</f>
        <v>0.665886100182564</v>
      </c>
      <c r="R47" s="16" t="n">
        <f aca="false">Q47</f>
        <v>0.665886100182564</v>
      </c>
      <c r="S47" s="17" t="n">
        <f aca="false">IF(H47="cancelled/withdrawn",0,IF(K47&gt;0,K47,IF(AND(H47="operating",I47&gt;0,I47&lt;=2),MAX(3,Q47*IF(J47=1,Assumptions!$B$6,Assumptions!$B$7)),Q47*IF(J47=1,Assumptions!$B$6,Assumptions!$B$7))))</f>
        <v>3</v>
      </c>
      <c r="T47" s="17" t="n">
        <f aca="false">S47*Assumptions!$B$8</f>
        <v>5.67</v>
      </c>
      <c r="U47" s="17" t="n">
        <f aca="false">R47*Assumptions!$B$2/1000000*Assumptions!$B$4</f>
        <v>18.8112823301574</v>
      </c>
      <c r="V47" s="18" t="n">
        <f aca="false">R47*Assumptions!$B$2*Assumptions!$B$18*(Assumptions!$B$17+M47+N47)</f>
        <v>445074.939931525</v>
      </c>
      <c r="W47" s="18" t="n">
        <f aca="false">Q47*Assumptions!$B$2*Assumptions!$B$10*Assumptions!$B$11*O47/100+Q47*Assumptions!$B$3*Assumptions!$B$12*Assumptions!$B$11*O47/100</f>
        <v>47286.7361037894</v>
      </c>
      <c r="X47" s="18" t="n">
        <f aca="false">S47*Assumptions!$B$9*Assumptions!$B$19</f>
        <v>7500</v>
      </c>
      <c r="Y47" s="18" t="n">
        <f aca="false">W47+X47</f>
        <v>54786.7361037894</v>
      </c>
      <c r="Z47" s="18" t="n">
        <f aca="false">S47*Assumptions!$B$9</f>
        <v>300000</v>
      </c>
      <c r="AA47" s="17" t="n">
        <f aca="false">Q47*Assumptions!$B$13*Assumptions!$B$14*8760/1000</f>
        <v>5.68733318165928</v>
      </c>
      <c r="AB47" s="17" t="n">
        <f aca="false">Q47*Assumptions!$B$13*8760*1000*Assumptions!$B$15/1233481.8</f>
        <v>2.12805977917118</v>
      </c>
    </row>
    <row r="48" customFormat="false" ht="15" hidden="false" customHeight="false" outlineLevel="0" collapsed="false">
      <c r="A48" s="2" t="s">
        <v>293</v>
      </c>
      <c r="B48" s="2" t="s">
        <v>294</v>
      </c>
      <c r="C48" s="2" t="s">
        <v>295</v>
      </c>
      <c r="D48" s="2" t="s">
        <v>155</v>
      </c>
      <c r="E48" s="2" t="s">
        <v>127</v>
      </c>
      <c r="F48" s="2" t="s">
        <v>234</v>
      </c>
      <c r="G48" s="13" t="n">
        <v>11</v>
      </c>
      <c r="H48" s="13" t="s">
        <v>129</v>
      </c>
      <c r="I48" s="14" t="n">
        <v>2</v>
      </c>
      <c r="J48" s="13" t="n">
        <v>0</v>
      </c>
      <c r="K48" s="13" t="n">
        <v>0</v>
      </c>
      <c r="L48" s="13" t="n">
        <v>0</v>
      </c>
      <c r="M48" s="15" t="n">
        <v>0.007</v>
      </c>
      <c r="N48" s="15" t="n">
        <v>0.028</v>
      </c>
      <c r="O48" s="13" t="n">
        <v>11</v>
      </c>
      <c r="P48" s="16" t="n">
        <f aca="false">IF(H48="operating",I48*Facilities!$Z$118,0)</f>
        <v>0.665886100182564</v>
      </c>
      <c r="Q48" s="16" t="n">
        <f aca="false">IF(H48="operating",P48,IF(OR(H48="under construction",H48="approved/planned",H48="proposed"),I48,0))</f>
        <v>0.665886100182564</v>
      </c>
      <c r="R48" s="16" t="n">
        <f aca="false">Q48</f>
        <v>0.665886100182564</v>
      </c>
      <c r="S48" s="17" t="n">
        <f aca="false">IF(H48="cancelled/withdrawn",0,IF(K48&gt;0,K48,IF(AND(H48="operating",I48&gt;0,I48&lt;=2),MAX(3,Q48*IF(J48=1,Assumptions!$B$6,Assumptions!$B$7)),Q48*IF(J48=1,Assumptions!$B$6,Assumptions!$B$7))))</f>
        <v>3</v>
      </c>
      <c r="T48" s="17" t="n">
        <f aca="false">S48*Assumptions!$B$8</f>
        <v>5.67</v>
      </c>
      <c r="U48" s="17" t="n">
        <f aca="false">R48*Assumptions!$B$2/1000000*Assumptions!$B$4</f>
        <v>18.8112823301574</v>
      </c>
      <c r="V48" s="18" t="n">
        <f aca="false">R48*Assumptions!$B$2*Assumptions!$B$18*(Assumptions!$B$17+M48+N48)</f>
        <v>445074.939931525</v>
      </c>
      <c r="W48" s="18" t="n">
        <f aca="false">Q48*Assumptions!$B$2*Assumptions!$B$10*Assumptions!$B$11*O48/100+Q48*Assumptions!$B$3*Assumptions!$B$12*Assumptions!$B$11*O48/100</f>
        <v>47286.7361037894</v>
      </c>
      <c r="X48" s="18" t="n">
        <f aca="false">S48*Assumptions!$B$9*Assumptions!$B$19</f>
        <v>7500</v>
      </c>
      <c r="Y48" s="18" t="n">
        <f aca="false">W48+X48</f>
        <v>54786.7361037894</v>
      </c>
      <c r="Z48" s="18" t="n">
        <f aca="false">S48*Assumptions!$B$9</f>
        <v>300000</v>
      </c>
      <c r="AA48" s="17" t="n">
        <f aca="false">Q48*Assumptions!$B$13*Assumptions!$B$14*8760/1000</f>
        <v>5.68733318165928</v>
      </c>
      <c r="AB48" s="17" t="n">
        <f aca="false">Q48*Assumptions!$B$13*8760*1000*Assumptions!$B$15/1233481.8</f>
        <v>2.12805977917118</v>
      </c>
    </row>
    <row r="49" customFormat="false" ht="15" hidden="false" customHeight="false" outlineLevel="0" collapsed="false">
      <c r="A49" s="2" t="s">
        <v>296</v>
      </c>
      <c r="B49" s="2" t="s">
        <v>297</v>
      </c>
      <c r="C49" s="2" t="s">
        <v>298</v>
      </c>
      <c r="D49" s="2" t="s">
        <v>133</v>
      </c>
      <c r="E49" s="2" t="s">
        <v>127</v>
      </c>
      <c r="F49" s="2" t="s">
        <v>234</v>
      </c>
      <c r="G49" s="13" t="n">
        <v>23</v>
      </c>
      <c r="H49" s="13" t="s">
        <v>129</v>
      </c>
      <c r="I49" s="14" t="n">
        <v>2</v>
      </c>
      <c r="J49" s="13" t="n">
        <v>0</v>
      </c>
      <c r="K49" s="13" t="n">
        <v>0</v>
      </c>
      <c r="L49" s="13" t="n">
        <v>0</v>
      </c>
      <c r="M49" s="15" t="n">
        <v>0.007</v>
      </c>
      <c r="N49" s="15" t="n">
        <v>0.035</v>
      </c>
      <c r="O49" s="13" t="n">
        <v>11</v>
      </c>
      <c r="P49" s="16" t="n">
        <f aca="false">IF(H49="operating",I49*Facilities!$Z$118,0)</f>
        <v>0.665886100182564</v>
      </c>
      <c r="Q49" s="16" t="n">
        <f aca="false">IF(H49="operating",P49,IF(OR(H49="under construction",H49="approved/planned",H49="proposed"),I49,0))</f>
        <v>0.665886100182564</v>
      </c>
      <c r="R49" s="16" t="n">
        <f aca="false">Q49</f>
        <v>0.665886100182564</v>
      </c>
      <c r="S49" s="17" t="n">
        <f aca="false">IF(H49="cancelled/withdrawn",0,IF(K49&gt;0,K49,IF(AND(H49="operating",I49&gt;0,I49&lt;=2),MAX(3,Q49*IF(J49=1,Assumptions!$B$6,Assumptions!$B$7)),Q49*IF(J49=1,Assumptions!$B$6,Assumptions!$B$7))))</f>
        <v>3</v>
      </c>
      <c r="T49" s="17" t="n">
        <f aca="false">S49*Assumptions!$B$8</f>
        <v>5.67</v>
      </c>
      <c r="U49" s="17" t="n">
        <f aca="false">R49*Assumptions!$B$2/1000000*Assumptions!$B$4</f>
        <v>18.8112823301574</v>
      </c>
      <c r="V49" s="18" t="n">
        <f aca="false">R49*Assumptions!$B$2*Assumptions!$B$18*(Assumptions!$B$17+M49+N49)</f>
        <v>479311.473772411</v>
      </c>
      <c r="W49" s="18" t="n">
        <f aca="false">Q49*Assumptions!$B$2*Assumptions!$B$10*Assumptions!$B$11*O49/100+Q49*Assumptions!$B$3*Assumptions!$B$12*Assumptions!$B$11*O49/100</f>
        <v>47286.7361037894</v>
      </c>
      <c r="X49" s="18" t="n">
        <f aca="false">S49*Assumptions!$B$9*Assumptions!$B$19</f>
        <v>7500</v>
      </c>
      <c r="Y49" s="18" t="n">
        <f aca="false">W49+X49</f>
        <v>54786.7361037894</v>
      </c>
      <c r="Z49" s="18" t="n">
        <f aca="false">S49*Assumptions!$B$9</f>
        <v>300000</v>
      </c>
      <c r="AA49" s="17" t="n">
        <f aca="false">Q49*Assumptions!$B$13*Assumptions!$B$14*8760/1000</f>
        <v>5.68733318165928</v>
      </c>
      <c r="AB49" s="17" t="n">
        <f aca="false">Q49*Assumptions!$B$13*8760*1000*Assumptions!$B$15/1233481.8</f>
        <v>2.12805977917118</v>
      </c>
    </row>
    <row r="50" customFormat="false" ht="15" hidden="false" customHeight="false" outlineLevel="0" collapsed="false">
      <c r="A50" s="2" t="s">
        <v>299</v>
      </c>
      <c r="B50" s="2" t="s">
        <v>300</v>
      </c>
      <c r="C50" s="2" t="s">
        <v>301</v>
      </c>
      <c r="D50" s="2" t="s">
        <v>155</v>
      </c>
      <c r="E50" s="2" t="s">
        <v>127</v>
      </c>
      <c r="F50" s="2" t="s">
        <v>234</v>
      </c>
      <c r="G50" s="13" t="n">
        <v>11</v>
      </c>
      <c r="H50" s="13" t="s">
        <v>129</v>
      </c>
      <c r="I50" s="14" t="n">
        <v>2</v>
      </c>
      <c r="J50" s="13" t="n">
        <v>0</v>
      </c>
      <c r="K50" s="13" t="n">
        <v>0</v>
      </c>
      <c r="L50" s="13" t="n">
        <v>0</v>
      </c>
      <c r="M50" s="15" t="n">
        <v>0.007</v>
      </c>
      <c r="N50" s="15" t="n">
        <v>0.028</v>
      </c>
      <c r="O50" s="13" t="n">
        <v>11</v>
      </c>
      <c r="P50" s="16" t="n">
        <f aca="false">IF(H50="operating",I50*Facilities!$Z$118,0)</f>
        <v>0.665886100182564</v>
      </c>
      <c r="Q50" s="16" t="n">
        <f aca="false">IF(H50="operating",P50,IF(OR(H50="under construction",H50="approved/planned",H50="proposed"),I50,0))</f>
        <v>0.665886100182564</v>
      </c>
      <c r="R50" s="16" t="n">
        <f aca="false">Q50</f>
        <v>0.665886100182564</v>
      </c>
      <c r="S50" s="17" t="n">
        <f aca="false">IF(H50="cancelled/withdrawn",0,IF(K50&gt;0,K50,IF(AND(H50="operating",I50&gt;0,I50&lt;=2),MAX(3,Q50*IF(J50=1,Assumptions!$B$6,Assumptions!$B$7)),Q50*IF(J50=1,Assumptions!$B$6,Assumptions!$B$7))))</f>
        <v>3</v>
      </c>
      <c r="T50" s="17" t="n">
        <f aca="false">S50*Assumptions!$B$8</f>
        <v>5.67</v>
      </c>
      <c r="U50" s="17" t="n">
        <f aca="false">R50*Assumptions!$B$2/1000000*Assumptions!$B$4</f>
        <v>18.8112823301574</v>
      </c>
      <c r="V50" s="18" t="n">
        <f aca="false">R50*Assumptions!$B$2*Assumptions!$B$18*(Assumptions!$B$17+M50+N50)</f>
        <v>445074.939931525</v>
      </c>
      <c r="W50" s="18" t="n">
        <f aca="false">Q50*Assumptions!$B$2*Assumptions!$B$10*Assumptions!$B$11*O50/100+Q50*Assumptions!$B$3*Assumptions!$B$12*Assumptions!$B$11*O50/100</f>
        <v>47286.7361037894</v>
      </c>
      <c r="X50" s="18" t="n">
        <f aca="false">S50*Assumptions!$B$9*Assumptions!$B$19</f>
        <v>7500</v>
      </c>
      <c r="Y50" s="18" t="n">
        <f aca="false">W50+X50</f>
        <v>54786.7361037894</v>
      </c>
      <c r="Z50" s="18" t="n">
        <f aca="false">S50*Assumptions!$B$9</f>
        <v>300000</v>
      </c>
      <c r="AA50" s="17" t="n">
        <f aca="false">Q50*Assumptions!$B$13*Assumptions!$B$14*8760/1000</f>
        <v>5.68733318165928</v>
      </c>
      <c r="AB50" s="17" t="n">
        <f aca="false">Q50*Assumptions!$B$13*8760*1000*Assumptions!$B$15/1233481.8</f>
        <v>2.12805977917118</v>
      </c>
    </row>
    <row r="51" customFormat="false" ht="15" hidden="false" customHeight="false" outlineLevel="0" collapsed="false">
      <c r="A51" s="2" t="s">
        <v>302</v>
      </c>
      <c r="B51" s="2" t="s">
        <v>303</v>
      </c>
      <c r="C51" s="2" t="s">
        <v>304</v>
      </c>
      <c r="D51" s="2" t="s">
        <v>155</v>
      </c>
      <c r="E51" s="2" t="s">
        <v>127</v>
      </c>
      <c r="F51" s="2" t="s">
        <v>234</v>
      </c>
      <c r="G51" s="13" t="n">
        <v>11</v>
      </c>
      <c r="H51" s="13" t="s">
        <v>129</v>
      </c>
      <c r="I51" s="14" t="n">
        <v>2</v>
      </c>
      <c r="J51" s="13" t="n">
        <v>0</v>
      </c>
      <c r="K51" s="13" t="n">
        <v>0</v>
      </c>
      <c r="L51" s="13" t="n">
        <v>0</v>
      </c>
      <c r="M51" s="15" t="n">
        <v>0.007</v>
      </c>
      <c r="N51" s="15" t="n">
        <v>0.028</v>
      </c>
      <c r="O51" s="13" t="n">
        <v>11</v>
      </c>
      <c r="P51" s="16" t="n">
        <f aca="false">IF(H51="operating",I51*Facilities!$Z$118,0)</f>
        <v>0.665886100182564</v>
      </c>
      <c r="Q51" s="16" t="n">
        <f aca="false">IF(H51="operating",P51,IF(OR(H51="under construction",H51="approved/planned",H51="proposed"),I51,0))</f>
        <v>0.665886100182564</v>
      </c>
      <c r="R51" s="16" t="n">
        <f aca="false">Q51</f>
        <v>0.665886100182564</v>
      </c>
      <c r="S51" s="17" t="n">
        <f aca="false">IF(H51="cancelled/withdrawn",0,IF(K51&gt;0,K51,IF(AND(H51="operating",I51&gt;0,I51&lt;=2),MAX(3,Q51*IF(J51=1,Assumptions!$B$6,Assumptions!$B$7)),Q51*IF(J51=1,Assumptions!$B$6,Assumptions!$B$7))))</f>
        <v>3</v>
      </c>
      <c r="T51" s="17" t="n">
        <f aca="false">S51*Assumptions!$B$8</f>
        <v>5.67</v>
      </c>
      <c r="U51" s="17" t="n">
        <f aca="false">R51*Assumptions!$B$2/1000000*Assumptions!$B$4</f>
        <v>18.8112823301574</v>
      </c>
      <c r="V51" s="18" t="n">
        <f aca="false">R51*Assumptions!$B$2*Assumptions!$B$18*(Assumptions!$B$17+M51+N51)</f>
        <v>445074.939931525</v>
      </c>
      <c r="W51" s="18" t="n">
        <f aca="false">Q51*Assumptions!$B$2*Assumptions!$B$10*Assumptions!$B$11*O51/100+Q51*Assumptions!$B$3*Assumptions!$B$12*Assumptions!$B$11*O51/100</f>
        <v>47286.7361037894</v>
      </c>
      <c r="X51" s="18" t="n">
        <f aca="false">S51*Assumptions!$B$9*Assumptions!$B$19</f>
        <v>7500</v>
      </c>
      <c r="Y51" s="18" t="n">
        <f aca="false">W51+X51</f>
        <v>54786.7361037894</v>
      </c>
      <c r="Z51" s="18" t="n">
        <f aca="false">S51*Assumptions!$B$9</f>
        <v>300000</v>
      </c>
      <c r="AA51" s="17" t="n">
        <f aca="false">Q51*Assumptions!$B$13*Assumptions!$B$14*8760/1000</f>
        <v>5.68733318165928</v>
      </c>
      <c r="AB51" s="17" t="n">
        <f aca="false">Q51*Assumptions!$B$13*8760*1000*Assumptions!$B$15/1233481.8</f>
        <v>2.12805977917118</v>
      </c>
    </row>
    <row r="52" customFormat="false" ht="15" hidden="false" customHeight="false" outlineLevel="0" collapsed="false">
      <c r="A52" s="2" t="s">
        <v>305</v>
      </c>
      <c r="B52" s="2" t="s">
        <v>306</v>
      </c>
      <c r="C52" s="2" t="s">
        <v>307</v>
      </c>
      <c r="D52" s="2" t="s">
        <v>155</v>
      </c>
      <c r="E52" s="2" t="s">
        <v>127</v>
      </c>
      <c r="F52" s="2" t="s">
        <v>234</v>
      </c>
      <c r="G52" s="13" t="n">
        <v>11</v>
      </c>
      <c r="H52" s="13" t="s">
        <v>129</v>
      </c>
      <c r="I52" s="14" t="n">
        <v>2</v>
      </c>
      <c r="J52" s="13" t="n">
        <v>0</v>
      </c>
      <c r="K52" s="13" t="n">
        <v>0</v>
      </c>
      <c r="L52" s="13" t="n">
        <v>0</v>
      </c>
      <c r="M52" s="15" t="n">
        <v>0.007</v>
      </c>
      <c r="N52" s="15" t="n">
        <v>0.028</v>
      </c>
      <c r="O52" s="13" t="n">
        <v>11</v>
      </c>
      <c r="P52" s="16" t="n">
        <f aca="false">IF(H52="operating",I52*Facilities!$Z$118,0)</f>
        <v>0.665886100182564</v>
      </c>
      <c r="Q52" s="16" t="n">
        <f aca="false">IF(H52="operating",P52,IF(OR(H52="under construction",H52="approved/planned",H52="proposed"),I52,0))</f>
        <v>0.665886100182564</v>
      </c>
      <c r="R52" s="16" t="n">
        <f aca="false">Q52</f>
        <v>0.665886100182564</v>
      </c>
      <c r="S52" s="17" t="n">
        <f aca="false">IF(H52="cancelled/withdrawn",0,IF(K52&gt;0,K52,IF(AND(H52="operating",I52&gt;0,I52&lt;=2),MAX(3,Q52*IF(J52=1,Assumptions!$B$6,Assumptions!$B$7)),Q52*IF(J52=1,Assumptions!$B$6,Assumptions!$B$7))))</f>
        <v>3</v>
      </c>
      <c r="T52" s="17" t="n">
        <f aca="false">S52*Assumptions!$B$8</f>
        <v>5.67</v>
      </c>
      <c r="U52" s="17" t="n">
        <f aca="false">R52*Assumptions!$B$2/1000000*Assumptions!$B$4</f>
        <v>18.8112823301574</v>
      </c>
      <c r="V52" s="18" t="n">
        <f aca="false">R52*Assumptions!$B$2*Assumptions!$B$18*(Assumptions!$B$17+M52+N52)</f>
        <v>445074.939931525</v>
      </c>
      <c r="W52" s="18" t="n">
        <f aca="false">Q52*Assumptions!$B$2*Assumptions!$B$10*Assumptions!$B$11*O52/100+Q52*Assumptions!$B$3*Assumptions!$B$12*Assumptions!$B$11*O52/100</f>
        <v>47286.7361037894</v>
      </c>
      <c r="X52" s="18" t="n">
        <f aca="false">S52*Assumptions!$B$9*Assumptions!$B$19</f>
        <v>7500</v>
      </c>
      <c r="Y52" s="18" t="n">
        <f aca="false">W52+X52</f>
        <v>54786.7361037894</v>
      </c>
      <c r="Z52" s="18" t="n">
        <f aca="false">S52*Assumptions!$B$9</f>
        <v>300000</v>
      </c>
      <c r="AA52" s="17" t="n">
        <f aca="false">Q52*Assumptions!$B$13*Assumptions!$B$14*8760/1000</f>
        <v>5.68733318165928</v>
      </c>
      <c r="AB52" s="17" t="n">
        <f aca="false">Q52*Assumptions!$B$13*8760*1000*Assumptions!$B$15/1233481.8</f>
        <v>2.12805977917118</v>
      </c>
    </row>
    <row r="53" customFormat="false" ht="15" hidden="false" customHeight="false" outlineLevel="0" collapsed="false">
      <c r="A53" s="2" t="s">
        <v>308</v>
      </c>
      <c r="B53" s="2" t="s">
        <v>309</v>
      </c>
      <c r="C53" s="2" t="s">
        <v>310</v>
      </c>
      <c r="D53" s="2" t="s">
        <v>155</v>
      </c>
      <c r="E53" s="2" t="s">
        <v>127</v>
      </c>
      <c r="F53" s="2" t="s">
        <v>234</v>
      </c>
      <c r="G53" s="13" t="n">
        <v>11</v>
      </c>
      <c r="H53" s="13" t="s">
        <v>129</v>
      </c>
      <c r="I53" s="14" t="n">
        <v>2</v>
      </c>
      <c r="J53" s="13" t="n">
        <v>0</v>
      </c>
      <c r="K53" s="13" t="n">
        <v>0</v>
      </c>
      <c r="L53" s="13" t="n">
        <v>0</v>
      </c>
      <c r="M53" s="15" t="n">
        <v>0.007</v>
      </c>
      <c r="N53" s="15" t="n">
        <v>0.028</v>
      </c>
      <c r="O53" s="13" t="n">
        <v>11</v>
      </c>
      <c r="P53" s="16" t="n">
        <f aca="false">IF(H53="operating",I53*Facilities!$Z$118,0)</f>
        <v>0.665886100182564</v>
      </c>
      <c r="Q53" s="16" t="n">
        <f aca="false">IF(H53="operating",P53,IF(OR(H53="under construction",H53="approved/planned",H53="proposed"),I53,0))</f>
        <v>0.665886100182564</v>
      </c>
      <c r="R53" s="16" t="n">
        <f aca="false">Q53</f>
        <v>0.665886100182564</v>
      </c>
      <c r="S53" s="17" t="n">
        <f aca="false">IF(H53="cancelled/withdrawn",0,IF(K53&gt;0,K53,IF(AND(H53="operating",I53&gt;0,I53&lt;=2),MAX(3,Q53*IF(J53=1,Assumptions!$B$6,Assumptions!$B$7)),Q53*IF(J53=1,Assumptions!$B$6,Assumptions!$B$7))))</f>
        <v>3</v>
      </c>
      <c r="T53" s="17" t="n">
        <f aca="false">S53*Assumptions!$B$8</f>
        <v>5.67</v>
      </c>
      <c r="U53" s="17" t="n">
        <f aca="false">R53*Assumptions!$B$2/1000000*Assumptions!$B$4</f>
        <v>18.8112823301574</v>
      </c>
      <c r="V53" s="18" t="n">
        <f aca="false">R53*Assumptions!$B$2*Assumptions!$B$18*(Assumptions!$B$17+M53+N53)</f>
        <v>445074.939931525</v>
      </c>
      <c r="W53" s="18" t="n">
        <f aca="false">Q53*Assumptions!$B$2*Assumptions!$B$10*Assumptions!$B$11*O53/100+Q53*Assumptions!$B$3*Assumptions!$B$12*Assumptions!$B$11*O53/100</f>
        <v>47286.7361037894</v>
      </c>
      <c r="X53" s="18" t="n">
        <f aca="false">S53*Assumptions!$B$9*Assumptions!$B$19</f>
        <v>7500</v>
      </c>
      <c r="Y53" s="18" t="n">
        <f aca="false">W53+X53</f>
        <v>54786.7361037894</v>
      </c>
      <c r="Z53" s="18" t="n">
        <f aca="false">S53*Assumptions!$B$9</f>
        <v>300000</v>
      </c>
      <c r="AA53" s="17" t="n">
        <f aca="false">Q53*Assumptions!$B$13*Assumptions!$B$14*8760/1000</f>
        <v>5.68733318165928</v>
      </c>
      <c r="AB53" s="17" t="n">
        <f aca="false">Q53*Assumptions!$B$13*8760*1000*Assumptions!$B$15/1233481.8</f>
        <v>2.12805977917118</v>
      </c>
    </row>
    <row r="54" customFormat="false" ht="15" hidden="false" customHeight="false" outlineLevel="0" collapsed="false">
      <c r="A54" s="2" t="s">
        <v>311</v>
      </c>
      <c r="B54" s="2" t="s">
        <v>312</v>
      </c>
      <c r="C54" s="2" t="s">
        <v>313</v>
      </c>
      <c r="D54" s="2" t="s">
        <v>155</v>
      </c>
      <c r="E54" s="2" t="s">
        <v>127</v>
      </c>
      <c r="F54" s="2" t="s">
        <v>234</v>
      </c>
      <c r="G54" s="13" t="n">
        <v>11</v>
      </c>
      <c r="H54" s="13" t="s">
        <v>129</v>
      </c>
      <c r="I54" s="14" t="n">
        <v>2</v>
      </c>
      <c r="J54" s="13" t="n">
        <v>0</v>
      </c>
      <c r="K54" s="13" t="n">
        <v>0</v>
      </c>
      <c r="L54" s="13" t="n">
        <v>0</v>
      </c>
      <c r="M54" s="15" t="n">
        <v>0.007</v>
      </c>
      <c r="N54" s="15" t="n">
        <v>0.028</v>
      </c>
      <c r="O54" s="13" t="n">
        <v>11</v>
      </c>
      <c r="P54" s="16" t="n">
        <f aca="false">IF(H54="operating",I54*Facilities!$Z$118,0)</f>
        <v>0.665886100182564</v>
      </c>
      <c r="Q54" s="16" t="n">
        <f aca="false">IF(H54="operating",P54,IF(OR(H54="under construction",H54="approved/planned",H54="proposed"),I54,0))</f>
        <v>0.665886100182564</v>
      </c>
      <c r="R54" s="16" t="n">
        <f aca="false">Q54</f>
        <v>0.665886100182564</v>
      </c>
      <c r="S54" s="17" t="n">
        <f aca="false">IF(H54="cancelled/withdrawn",0,IF(K54&gt;0,K54,IF(AND(H54="operating",I54&gt;0,I54&lt;=2),MAX(3,Q54*IF(J54=1,Assumptions!$B$6,Assumptions!$B$7)),Q54*IF(J54=1,Assumptions!$B$6,Assumptions!$B$7))))</f>
        <v>3</v>
      </c>
      <c r="T54" s="17" t="n">
        <f aca="false">S54*Assumptions!$B$8</f>
        <v>5.67</v>
      </c>
      <c r="U54" s="17" t="n">
        <f aca="false">R54*Assumptions!$B$2/1000000*Assumptions!$B$4</f>
        <v>18.8112823301574</v>
      </c>
      <c r="V54" s="18" t="n">
        <f aca="false">R54*Assumptions!$B$2*Assumptions!$B$18*(Assumptions!$B$17+M54+N54)</f>
        <v>445074.939931525</v>
      </c>
      <c r="W54" s="18" t="n">
        <f aca="false">Q54*Assumptions!$B$2*Assumptions!$B$10*Assumptions!$B$11*O54/100+Q54*Assumptions!$B$3*Assumptions!$B$12*Assumptions!$B$11*O54/100</f>
        <v>47286.7361037894</v>
      </c>
      <c r="X54" s="18" t="n">
        <f aca="false">S54*Assumptions!$B$9*Assumptions!$B$19</f>
        <v>7500</v>
      </c>
      <c r="Y54" s="18" t="n">
        <f aca="false">W54+X54</f>
        <v>54786.7361037894</v>
      </c>
      <c r="Z54" s="18" t="n">
        <f aca="false">S54*Assumptions!$B$9</f>
        <v>300000</v>
      </c>
      <c r="AA54" s="17" t="n">
        <f aca="false">Q54*Assumptions!$B$13*Assumptions!$B$14*8760/1000</f>
        <v>5.68733318165928</v>
      </c>
      <c r="AB54" s="17" t="n">
        <f aca="false">Q54*Assumptions!$B$13*8760*1000*Assumptions!$B$15/1233481.8</f>
        <v>2.12805977917118</v>
      </c>
    </row>
    <row r="55" customFormat="false" ht="15" hidden="false" customHeight="false" outlineLevel="0" collapsed="false">
      <c r="A55" s="2" t="s">
        <v>314</v>
      </c>
      <c r="B55" s="2" t="s">
        <v>315</v>
      </c>
      <c r="C55" s="2" t="s">
        <v>316</v>
      </c>
      <c r="D55" s="2" t="s">
        <v>155</v>
      </c>
      <c r="E55" s="2" t="s">
        <v>127</v>
      </c>
      <c r="F55" s="2" t="s">
        <v>234</v>
      </c>
      <c r="G55" s="13" t="n">
        <v>11</v>
      </c>
      <c r="H55" s="13" t="s">
        <v>129</v>
      </c>
      <c r="I55" s="14" t="n">
        <v>2</v>
      </c>
      <c r="J55" s="13" t="n">
        <v>0</v>
      </c>
      <c r="K55" s="13" t="n">
        <v>0</v>
      </c>
      <c r="L55" s="13" t="n">
        <v>0</v>
      </c>
      <c r="M55" s="15" t="n">
        <v>0.007</v>
      </c>
      <c r="N55" s="15" t="n">
        <v>0.028</v>
      </c>
      <c r="O55" s="13" t="n">
        <v>11</v>
      </c>
      <c r="P55" s="16" t="n">
        <f aca="false">IF(H55="operating",I55*Facilities!$Z$118,0)</f>
        <v>0.665886100182564</v>
      </c>
      <c r="Q55" s="16" t="n">
        <f aca="false">IF(H55="operating",P55,IF(OR(H55="under construction",H55="approved/planned",H55="proposed"),I55,0))</f>
        <v>0.665886100182564</v>
      </c>
      <c r="R55" s="16" t="n">
        <f aca="false">Q55</f>
        <v>0.665886100182564</v>
      </c>
      <c r="S55" s="17" t="n">
        <f aca="false">IF(H55="cancelled/withdrawn",0,IF(K55&gt;0,K55,IF(AND(H55="operating",I55&gt;0,I55&lt;=2),MAX(3,Q55*IF(J55=1,Assumptions!$B$6,Assumptions!$B$7)),Q55*IF(J55=1,Assumptions!$B$6,Assumptions!$B$7))))</f>
        <v>3</v>
      </c>
      <c r="T55" s="17" t="n">
        <f aca="false">S55*Assumptions!$B$8</f>
        <v>5.67</v>
      </c>
      <c r="U55" s="17" t="n">
        <f aca="false">R55*Assumptions!$B$2/1000000*Assumptions!$B$4</f>
        <v>18.8112823301574</v>
      </c>
      <c r="V55" s="18" t="n">
        <f aca="false">R55*Assumptions!$B$2*Assumptions!$B$18*(Assumptions!$B$17+M55+N55)</f>
        <v>445074.939931525</v>
      </c>
      <c r="W55" s="18" t="n">
        <f aca="false">Q55*Assumptions!$B$2*Assumptions!$B$10*Assumptions!$B$11*O55/100+Q55*Assumptions!$B$3*Assumptions!$B$12*Assumptions!$B$11*O55/100</f>
        <v>47286.7361037894</v>
      </c>
      <c r="X55" s="18" t="n">
        <f aca="false">S55*Assumptions!$B$9*Assumptions!$B$19</f>
        <v>7500</v>
      </c>
      <c r="Y55" s="18" t="n">
        <f aca="false">W55+X55</f>
        <v>54786.7361037894</v>
      </c>
      <c r="Z55" s="18" t="n">
        <f aca="false">S55*Assumptions!$B$9</f>
        <v>300000</v>
      </c>
      <c r="AA55" s="17" t="n">
        <f aca="false">Q55*Assumptions!$B$13*Assumptions!$B$14*8760/1000</f>
        <v>5.68733318165928</v>
      </c>
      <c r="AB55" s="17" t="n">
        <f aca="false">Q55*Assumptions!$B$13*8760*1000*Assumptions!$B$15/1233481.8</f>
        <v>2.12805977917118</v>
      </c>
    </row>
    <row r="56" customFormat="false" ht="15" hidden="false" customHeight="false" outlineLevel="0" collapsed="false">
      <c r="A56" s="2" t="s">
        <v>317</v>
      </c>
      <c r="B56" s="2" t="s">
        <v>318</v>
      </c>
      <c r="C56" s="2" t="s">
        <v>319</v>
      </c>
      <c r="D56" s="2" t="s">
        <v>155</v>
      </c>
      <c r="E56" s="2" t="s">
        <v>127</v>
      </c>
      <c r="F56" s="2" t="s">
        <v>234</v>
      </c>
      <c r="G56" s="13" t="n">
        <v>11</v>
      </c>
      <c r="H56" s="13" t="s">
        <v>129</v>
      </c>
      <c r="I56" s="14" t="n">
        <v>2</v>
      </c>
      <c r="J56" s="13" t="n">
        <v>0</v>
      </c>
      <c r="K56" s="13" t="n">
        <v>0</v>
      </c>
      <c r="L56" s="13" t="n">
        <v>0</v>
      </c>
      <c r="M56" s="15" t="n">
        <v>0.007</v>
      </c>
      <c r="N56" s="15" t="n">
        <v>0.028</v>
      </c>
      <c r="O56" s="13" t="n">
        <v>11</v>
      </c>
      <c r="P56" s="16" t="n">
        <f aca="false">IF(H56="operating",I56*Facilities!$Z$118,0)</f>
        <v>0.665886100182564</v>
      </c>
      <c r="Q56" s="16" t="n">
        <f aca="false">IF(H56="operating",P56,IF(OR(H56="under construction",H56="approved/planned",H56="proposed"),I56,0))</f>
        <v>0.665886100182564</v>
      </c>
      <c r="R56" s="16" t="n">
        <f aca="false">Q56</f>
        <v>0.665886100182564</v>
      </c>
      <c r="S56" s="17" t="n">
        <f aca="false">IF(H56="cancelled/withdrawn",0,IF(K56&gt;0,K56,IF(AND(H56="operating",I56&gt;0,I56&lt;=2),MAX(3,Q56*IF(J56=1,Assumptions!$B$6,Assumptions!$B$7)),Q56*IF(J56=1,Assumptions!$B$6,Assumptions!$B$7))))</f>
        <v>3</v>
      </c>
      <c r="T56" s="17" t="n">
        <f aca="false">S56*Assumptions!$B$8</f>
        <v>5.67</v>
      </c>
      <c r="U56" s="17" t="n">
        <f aca="false">R56*Assumptions!$B$2/1000000*Assumptions!$B$4</f>
        <v>18.8112823301574</v>
      </c>
      <c r="V56" s="18" t="n">
        <f aca="false">R56*Assumptions!$B$2*Assumptions!$B$18*(Assumptions!$B$17+M56+N56)</f>
        <v>445074.939931525</v>
      </c>
      <c r="W56" s="18" t="n">
        <f aca="false">Q56*Assumptions!$B$2*Assumptions!$B$10*Assumptions!$B$11*O56/100+Q56*Assumptions!$B$3*Assumptions!$B$12*Assumptions!$B$11*O56/100</f>
        <v>47286.7361037894</v>
      </c>
      <c r="X56" s="18" t="n">
        <f aca="false">S56*Assumptions!$B$9*Assumptions!$B$19</f>
        <v>7500</v>
      </c>
      <c r="Y56" s="18" t="n">
        <f aca="false">W56+X56</f>
        <v>54786.7361037894</v>
      </c>
      <c r="Z56" s="18" t="n">
        <f aca="false">S56*Assumptions!$B$9</f>
        <v>300000</v>
      </c>
      <c r="AA56" s="17" t="n">
        <f aca="false">Q56*Assumptions!$B$13*Assumptions!$B$14*8760/1000</f>
        <v>5.68733318165928</v>
      </c>
      <c r="AB56" s="17" t="n">
        <f aca="false">Q56*Assumptions!$B$13*8760*1000*Assumptions!$B$15/1233481.8</f>
        <v>2.12805977917118</v>
      </c>
    </row>
    <row r="57" customFormat="false" ht="15" hidden="false" customHeight="false" outlineLevel="0" collapsed="false">
      <c r="A57" s="2" t="s">
        <v>320</v>
      </c>
      <c r="B57" s="2" t="s">
        <v>321</v>
      </c>
      <c r="C57" s="2" t="s">
        <v>322</v>
      </c>
      <c r="D57" s="2" t="s">
        <v>155</v>
      </c>
      <c r="E57" s="2" t="s">
        <v>127</v>
      </c>
      <c r="F57" s="2" t="s">
        <v>234</v>
      </c>
      <c r="G57" s="13" t="n">
        <v>11</v>
      </c>
      <c r="H57" s="13" t="s">
        <v>129</v>
      </c>
      <c r="I57" s="14" t="n">
        <v>2</v>
      </c>
      <c r="J57" s="13" t="n">
        <v>0</v>
      </c>
      <c r="K57" s="13" t="n">
        <v>0</v>
      </c>
      <c r="L57" s="13" t="n">
        <v>0</v>
      </c>
      <c r="M57" s="15" t="n">
        <v>0.007</v>
      </c>
      <c r="N57" s="15" t="n">
        <v>0.028</v>
      </c>
      <c r="O57" s="13" t="n">
        <v>11</v>
      </c>
      <c r="P57" s="16" t="n">
        <f aca="false">IF(H57="operating",I57*Facilities!$Z$118,0)</f>
        <v>0.665886100182564</v>
      </c>
      <c r="Q57" s="16" t="n">
        <f aca="false">IF(H57="operating",P57,IF(OR(H57="under construction",H57="approved/planned",H57="proposed"),I57,0))</f>
        <v>0.665886100182564</v>
      </c>
      <c r="R57" s="16" t="n">
        <f aca="false">Q57</f>
        <v>0.665886100182564</v>
      </c>
      <c r="S57" s="17" t="n">
        <f aca="false">IF(H57="cancelled/withdrawn",0,IF(K57&gt;0,K57,IF(AND(H57="operating",I57&gt;0,I57&lt;=2),MAX(3,Q57*IF(J57=1,Assumptions!$B$6,Assumptions!$B$7)),Q57*IF(J57=1,Assumptions!$B$6,Assumptions!$B$7))))</f>
        <v>3</v>
      </c>
      <c r="T57" s="17" t="n">
        <f aca="false">S57*Assumptions!$B$8</f>
        <v>5.67</v>
      </c>
      <c r="U57" s="17" t="n">
        <f aca="false">R57*Assumptions!$B$2/1000000*Assumptions!$B$4</f>
        <v>18.8112823301574</v>
      </c>
      <c r="V57" s="18" t="n">
        <f aca="false">R57*Assumptions!$B$2*Assumptions!$B$18*(Assumptions!$B$17+M57+N57)</f>
        <v>445074.939931525</v>
      </c>
      <c r="W57" s="18" t="n">
        <f aca="false">Q57*Assumptions!$B$2*Assumptions!$B$10*Assumptions!$B$11*O57/100+Q57*Assumptions!$B$3*Assumptions!$B$12*Assumptions!$B$11*O57/100</f>
        <v>47286.7361037894</v>
      </c>
      <c r="X57" s="18" t="n">
        <f aca="false">S57*Assumptions!$B$9*Assumptions!$B$19</f>
        <v>7500</v>
      </c>
      <c r="Y57" s="18" t="n">
        <f aca="false">W57+X57</f>
        <v>54786.7361037894</v>
      </c>
      <c r="Z57" s="18" t="n">
        <f aca="false">S57*Assumptions!$B$9</f>
        <v>300000</v>
      </c>
      <c r="AA57" s="17" t="n">
        <f aca="false">Q57*Assumptions!$B$13*Assumptions!$B$14*8760/1000</f>
        <v>5.68733318165928</v>
      </c>
      <c r="AB57" s="17" t="n">
        <f aca="false">Q57*Assumptions!$B$13*8760*1000*Assumptions!$B$15/1233481.8</f>
        <v>2.12805977917118</v>
      </c>
    </row>
    <row r="58" customFormat="false" ht="15" hidden="false" customHeight="false" outlineLevel="0" collapsed="false">
      <c r="A58" s="2" t="s">
        <v>323</v>
      </c>
      <c r="B58" s="2" t="s">
        <v>324</v>
      </c>
      <c r="C58" s="2" t="s">
        <v>325</v>
      </c>
      <c r="D58" s="2" t="s">
        <v>155</v>
      </c>
      <c r="E58" s="2" t="s">
        <v>127</v>
      </c>
      <c r="F58" s="2" t="s">
        <v>234</v>
      </c>
      <c r="G58" s="13" t="n">
        <v>11</v>
      </c>
      <c r="H58" s="13" t="s">
        <v>129</v>
      </c>
      <c r="I58" s="14" t="n">
        <v>2</v>
      </c>
      <c r="J58" s="13" t="n">
        <v>0</v>
      </c>
      <c r="K58" s="13" t="n">
        <v>0</v>
      </c>
      <c r="L58" s="13" t="n">
        <v>0</v>
      </c>
      <c r="M58" s="15" t="n">
        <v>0.007</v>
      </c>
      <c r="N58" s="15" t="n">
        <v>0.028</v>
      </c>
      <c r="O58" s="13" t="n">
        <v>11</v>
      </c>
      <c r="P58" s="16" t="n">
        <f aca="false">IF(H58="operating",I58*Facilities!$Z$118,0)</f>
        <v>0.665886100182564</v>
      </c>
      <c r="Q58" s="16" t="n">
        <f aca="false">IF(H58="operating",P58,IF(OR(H58="under construction",H58="approved/planned",H58="proposed"),I58,0))</f>
        <v>0.665886100182564</v>
      </c>
      <c r="R58" s="16" t="n">
        <f aca="false">Q58</f>
        <v>0.665886100182564</v>
      </c>
      <c r="S58" s="17" t="n">
        <f aca="false">IF(H58="cancelled/withdrawn",0,IF(K58&gt;0,K58,IF(AND(H58="operating",I58&gt;0,I58&lt;=2),MAX(3,Q58*IF(J58=1,Assumptions!$B$6,Assumptions!$B$7)),Q58*IF(J58=1,Assumptions!$B$6,Assumptions!$B$7))))</f>
        <v>3</v>
      </c>
      <c r="T58" s="17" t="n">
        <f aca="false">S58*Assumptions!$B$8</f>
        <v>5.67</v>
      </c>
      <c r="U58" s="17" t="n">
        <f aca="false">R58*Assumptions!$B$2/1000000*Assumptions!$B$4</f>
        <v>18.8112823301574</v>
      </c>
      <c r="V58" s="18" t="n">
        <f aca="false">R58*Assumptions!$B$2*Assumptions!$B$18*(Assumptions!$B$17+M58+N58)</f>
        <v>445074.939931525</v>
      </c>
      <c r="W58" s="18" t="n">
        <f aca="false">Q58*Assumptions!$B$2*Assumptions!$B$10*Assumptions!$B$11*O58/100+Q58*Assumptions!$B$3*Assumptions!$B$12*Assumptions!$B$11*O58/100</f>
        <v>47286.7361037894</v>
      </c>
      <c r="X58" s="18" t="n">
        <f aca="false">S58*Assumptions!$B$9*Assumptions!$B$19</f>
        <v>7500</v>
      </c>
      <c r="Y58" s="18" t="n">
        <f aca="false">W58+X58</f>
        <v>54786.7361037894</v>
      </c>
      <c r="Z58" s="18" t="n">
        <f aca="false">S58*Assumptions!$B$9</f>
        <v>300000</v>
      </c>
      <c r="AA58" s="17" t="n">
        <f aca="false">Q58*Assumptions!$B$13*Assumptions!$B$14*8760/1000</f>
        <v>5.68733318165928</v>
      </c>
      <c r="AB58" s="17" t="n">
        <f aca="false">Q58*Assumptions!$B$13*8760*1000*Assumptions!$B$15/1233481.8</f>
        <v>2.12805977917118</v>
      </c>
    </row>
    <row r="59" customFormat="false" ht="15" hidden="false" customHeight="false" outlineLevel="0" collapsed="false">
      <c r="A59" s="2" t="s">
        <v>326</v>
      </c>
      <c r="B59" s="2" t="s">
        <v>327</v>
      </c>
      <c r="C59" s="2" t="s">
        <v>328</v>
      </c>
      <c r="D59" s="2" t="s">
        <v>329</v>
      </c>
      <c r="E59" s="2" t="s">
        <v>330</v>
      </c>
      <c r="F59" s="2" t="s">
        <v>234</v>
      </c>
      <c r="G59" s="13" t="n">
        <v>20</v>
      </c>
      <c r="H59" s="13" t="s">
        <v>129</v>
      </c>
      <c r="I59" s="14" t="n">
        <v>2</v>
      </c>
      <c r="J59" s="13" t="n">
        <v>0</v>
      </c>
      <c r="K59" s="13" t="n">
        <v>0</v>
      </c>
      <c r="L59" s="13" t="n">
        <v>0</v>
      </c>
      <c r="M59" s="15" t="n">
        <v>0.005</v>
      </c>
      <c r="N59" s="15" t="n">
        <v>0.026</v>
      </c>
      <c r="O59" s="13" t="n">
        <v>10.5</v>
      </c>
      <c r="P59" s="16" t="n">
        <f aca="false">IF(H59="operating",I59*Facilities!$Z$118,0)</f>
        <v>0.665886100182564</v>
      </c>
      <c r="Q59" s="16" t="n">
        <f aca="false">IF(H59="operating",P59,IF(OR(H59="under construction",H59="approved/planned",H59="proposed"),I59,0))</f>
        <v>0.665886100182564</v>
      </c>
      <c r="R59" s="16" t="n">
        <f aca="false">Q59</f>
        <v>0.665886100182564</v>
      </c>
      <c r="S59" s="17" t="n">
        <f aca="false">IF(H59="cancelled/withdrawn",0,IF(K59&gt;0,K59,IF(AND(H59="operating",I59&gt;0,I59&lt;=2),MAX(3,Q59*IF(J59=1,Assumptions!$B$6,Assumptions!$B$7)),Q59*IF(J59=1,Assumptions!$B$6,Assumptions!$B$7))))</f>
        <v>3</v>
      </c>
      <c r="T59" s="17" t="n">
        <f aca="false">S59*Assumptions!$B$8</f>
        <v>5.67</v>
      </c>
      <c r="U59" s="17" t="n">
        <f aca="false">R59*Assumptions!$B$2/1000000*Assumptions!$B$4</f>
        <v>18.8112823301574</v>
      </c>
      <c r="V59" s="18" t="n">
        <f aca="false">R59*Assumptions!$B$2*Assumptions!$B$18*(Assumptions!$B$17+M59+N59)</f>
        <v>425511.206308161</v>
      </c>
      <c r="W59" s="18" t="n">
        <f aca="false">Q59*Assumptions!$B$2*Assumptions!$B$10*Assumptions!$B$11*O59/100+Q59*Assumptions!$B$3*Assumptions!$B$12*Assumptions!$B$11*O59/100</f>
        <v>45137.3390081627</v>
      </c>
      <c r="X59" s="18" t="n">
        <f aca="false">S59*Assumptions!$B$9*Assumptions!$B$19</f>
        <v>7500</v>
      </c>
      <c r="Y59" s="18" t="n">
        <f aca="false">W59+X59</f>
        <v>52637.3390081627</v>
      </c>
      <c r="Z59" s="18" t="n">
        <f aca="false">S59*Assumptions!$B$9</f>
        <v>300000</v>
      </c>
      <c r="AA59" s="17" t="n">
        <f aca="false">Q59*Assumptions!$B$13*Assumptions!$B$14*8760/1000</f>
        <v>5.68733318165928</v>
      </c>
      <c r="AB59" s="17" t="n">
        <f aca="false">Q59*Assumptions!$B$13*8760*1000*Assumptions!$B$15/1233481.8</f>
        <v>2.12805977917118</v>
      </c>
    </row>
    <row r="60" customFormat="false" ht="15" hidden="false" customHeight="false" outlineLevel="0" collapsed="false">
      <c r="A60" s="2" t="s">
        <v>331</v>
      </c>
      <c r="B60" s="2" t="s">
        <v>332</v>
      </c>
      <c r="C60" s="2" t="s">
        <v>333</v>
      </c>
      <c r="D60" s="2" t="s">
        <v>329</v>
      </c>
      <c r="E60" s="2" t="s">
        <v>330</v>
      </c>
      <c r="F60" s="2" t="s">
        <v>234</v>
      </c>
      <c r="G60" s="13" t="n">
        <v>21</v>
      </c>
      <c r="H60" s="13" t="s">
        <v>129</v>
      </c>
      <c r="I60" s="14" t="n">
        <v>2</v>
      </c>
      <c r="J60" s="13" t="n">
        <v>0</v>
      </c>
      <c r="K60" s="13" t="n">
        <v>0</v>
      </c>
      <c r="L60" s="13" t="n">
        <v>0</v>
      </c>
      <c r="M60" s="15" t="n">
        <v>0.005</v>
      </c>
      <c r="N60" s="15" t="n">
        <v>0.026</v>
      </c>
      <c r="O60" s="13" t="n">
        <v>10.5</v>
      </c>
      <c r="P60" s="16" t="n">
        <f aca="false">IF(H60="operating",I60*Facilities!$Z$118,0)</f>
        <v>0.665886100182564</v>
      </c>
      <c r="Q60" s="16" t="n">
        <f aca="false">IF(H60="operating",P60,IF(OR(H60="under construction",H60="approved/planned",H60="proposed"),I60,0))</f>
        <v>0.665886100182564</v>
      </c>
      <c r="R60" s="16" t="n">
        <f aca="false">Q60</f>
        <v>0.665886100182564</v>
      </c>
      <c r="S60" s="17" t="n">
        <f aca="false">IF(H60="cancelled/withdrawn",0,IF(K60&gt;0,K60,IF(AND(H60="operating",I60&gt;0,I60&lt;=2),MAX(3,Q60*IF(J60=1,Assumptions!$B$6,Assumptions!$B$7)),Q60*IF(J60=1,Assumptions!$B$6,Assumptions!$B$7))))</f>
        <v>3</v>
      </c>
      <c r="T60" s="17" t="n">
        <f aca="false">S60*Assumptions!$B$8</f>
        <v>5.67</v>
      </c>
      <c r="U60" s="17" t="n">
        <f aca="false">R60*Assumptions!$B$2/1000000*Assumptions!$B$4</f>
        <v>18.8112823301574</v>
      </c>
      <c r="V60" s="18" t="n">
        <f aca="false">R60*Assumptions!$B$2*Assumptions!$B$18*(Assumptions!$B$17+M60+N60)</f>
        <v>425511.206308161</v>
      </c>
      <c r="W60" s="18" t="n">
        <f aca="false">Q60*Assumptions!$B$2*Assumptions!$B$10*Assumptions!$B$11*O60/100+Q60*Assumptions!$B$3*Assumptions!$B$12*Assumptions!$B$11*O60/100</f>
        <v>45137.3390081627</v>
      </c>
      <c r="X60" s="18" t="n">
        <f aca="false">S60*Assumptions!$B$9*Assumptions!$B$19</f>
        <v>7500</v>
      </c>
      <c r="Y60" s="18" t="n">
        <f aca="false">W60+X60</f>
        <v>52637.3390081627</v>
      </c>
      <c r="Z60" s="18" t="n">
        <f aca="false">S60*Assumptions!$B$9</f>
        <v>300000</v>
      </c>
      <c r="AA60" s="17" t="n">
        <f aca="false">Q60*Assumptions!$B$13*Assumptions!$B$14*8760/1000</f>
        <v>5.68733318165928</v>
      </c>
      <c r="AB60" s="17" t="n">
        <f aca="false">Q60*Assumptions!$B$13*8760*1000*Assumptions!$B$15/1233481.8</f>
        <v>2.12805977917118</v>
      </c>
    </row>
    <row r="61" customFormat="false" ht="15" hidden="false" customHeight="false" outlineLevel="0" collapsed="false">
      <c r="A61" s="2" t="s">
        <v>334</v>
      </c>
      <c r="B61" s="2" t="s">
        <v>335</v>
      </c>
      <c r="C61" s="2" t="s">
        <v>336</v>
      </c>
      <c r="D61" s="2" t="s">
        <v>329</v>
      </c>
      <c r="E61" s="2" t="s">
        <v>330</v>
      </c>
      <c r="F61" s="2" t="s">
        <v>234</v>
      </c>
      <c r="G61" s="13" t="n">
        <v>18</v>
      </c>
      <c r="H61" s="13" t="s">
        <v>129</v>
      </c>
      <c r="I61" s="14" t="n">
        <v>2</v>
      </c>
      <c r="J61" s="13" t="n">
        <v>0</v>
      </c>
      <c r="K61" s="13" t="n">
        <v>0</v>
      </c>
      <c r="L61" s="13" t="n">
        <v>0</v>
      </c>
      <c r="M61" s="15" t="n">
        <v>0.005</v>
      </c>
      <c r="N61" s="15" t="n">
        <v>0.026</v>
      </c>
      <c r="O61" s="13" t="n">
        <v>10.5</v>
      </c>
      <c r="P61" s="16" t="n">
        <f aca="false">IF(H61="operating",I61*Facilities!$Z$118,0)</f>
        <v>0.665886100182564</v>
      </c>
      <c r="Q61" s="16" t="n">
        <f aca="false">IF(H61="operating",P61,IF(OR(H61="under construction",H61="approved/planned",H61="proposed"),I61,0))</f>
        <v>0.665886100182564</v>
      </c>
      <c r="R61" s="16" t="n">
        <f aca="false">Q61</f>
        <v>0.665886100182564</v>
      </c>
      <c r="S61" s="17" t="n">
        <f aca="false">IF(H61="cancelled/withdrawn",0,IF(K61&gt;0,K61,IF(AND(H61="operating",I61&gt;0,I61&lt;=2),MAX(3,Q61*IF(J61=1,Assumptions!$B$6,Assumptions!$B$7)),Q61*IF(J61=1,Assumptions!$B$6,Assumptions!$B$7))))</f>
        <v>3</v>
      </c>
      <c r="T61" s="17" t="n">
        <f aca="false">S61*Assumptions!$B$8</f>
        <v>5.67</v>
      </c>
      <c r="U61" s="17" t="n">
        <f aca="false">R61*Assumptions!$B$2/1000000*Assumptions!$B$4</f>
        <v>18.8112823301574</v>
      </c>
      <c r="V61" s="18" t="n">
        <f aca="false">R61*Assumptions!$B$2*Assumptions!$B$18*(Assumptions!$B$17+M61+N61)</f>
        <v>425511.206308161</v>
      </c>
      <c r="W61" s="18" t="n">
        <f aca="false">Q61*Assumptions!$B$2*Assumptions!$B$10*Assumptions!$B$11*O61/100+Q61*Assumptions!$B$3*Assumptions!$B$12*Assumptions!$B$11*O61/100</f>
        <v>45137.3390081627</v>
      </c>
      <c r="X61" s="18" t="n">
        <f aca="false">S61*Assumptions!$B$9*Assumptions!$B$19</f>
        <v>7500</v>
      </c>
      <c r="Y61" s="18" t="n">
        <f aca="false">W61+X61</f>
        <v>52637.3390081627</v>
      </c>
      <c r="Z61" s="18" t="n">
        <f aca="false">S61*Assumptions!$B$9</f>
        <v>300000</v>
      </c>
      <c r="AA61" s="17" t="n">
        <f aca="false">Q61*Assumptions!$B$13*Assumptions!$B$14*8760/1000</f>
        <v>5.68733318165928</v>
      </c>
      <c r="AB61" s="17" t="n">
        <f aca="false">Q61*Assumptions!$B$13*8760*1000*Assumptions!$B$15/1233481.8</f>
        <v>2.12805977917118</v>
      </c>
    </row>
    <row r="62" customFormat="false" ht="15" hidden="false" customHeight="false" outlineLevel="0" collapsed="false">
      <c r="A62" s="2" t="s">
        <v>337</v>
      </c>
      <c r="B62" s="2" t="s">
        <v>338</v>
      </c>
      <c r="C62" s="2" t="s">
        <v>339</v>
      </c>
      <c r="D62" s="2" t="s">
        <v>329</v>
      </c>
      <c r="E62" s="2" t="s">
        <v>330</v>
      </c>
      <c r="F62" s="2" t="s">
        <v>234</v>
      </c>
      <c r="G62" s="13" t="n">
        <v>21</v>
      </c>
      <c r="H62" s="13" t="s">
        <v>129</v>
      </c>
      <c r="I62" s="14" t="n">
        <v>2</v>
      </c>
      <c r="J62" s="13" t="n">
        <v>0</v>
      </c>
      <c r="K62" s="13" t="n">
        <v>0</v>
      </c>
      <c r="L62" s="13" t="n">
        <v>0</v>
      </c>
      <c r="M62" s="15" t="n">
        <v>0.005</v>
      </c>
      <c r="N62" s="15" t="n">
        <v>0.026</v>
      </c>
      <c r="O62" s="13" t="n">
        <v>10.5</v>
      </c>
      <c r="P62" s="16" t="n">
        <f aca="false">IF(H62="operating",I62*Facilities!$Z$118,0)</f>
        <v>0.665886100182564</v>
      </c>
      <c r="Q62" s="16" t="n">
        <f aca="false">IF(H62="operating",P62,IF(OR(H62="under construction",H62="approved/planned",H62="proposed"),I62,0))</f>
        <v>0.665886100182564</v>
      </c>
      <c r="R62" s="16" t="n">
        <f aca="false">Q62</f>
        <v>0.665886100182564</v>
      </c>
      <c r="S62" s="17" t="n">
        <f aca="false">IF(H62="cancelled/withdrawn",0,IF(K62&gt;0,K62,IF(AND(H62="operating",I62&gt;0,I62&lt;=2),MAX(3,Q62*IF(J62=1,Assumptions!$B$6,Assumptions!$B$7)),Q62*IF(J62=1,Assumptions!$B$6,Assumptions!$B$7))))</f>
        <v>3</v>
      </c>
      <c r="T62" s="17" t="n">
        <f aca="false">S62*Assumptions!$B$8</f>
        <v>5.67</v>
      </c>
      <c r="U62" s="17" t="n">
        <f aca="false">R62*Assumptions!$B$2/1000000*Assumptions!$B$4</f>
        <v>18.8112823301574</v>
      </c>
      <c r="V62" s="18" t="n">
        <f aca="false">R62*Assumptions!$B$2*Assumptions!$B$18*(Assumptions!$B$17+M62+N62)</f>
        <v>425511.206308161</v>
      </c>
      <c r="W62" s="18" t="n">
        <f aca="false">Q62*Assumptions!$B$2*Assumptions!$B$10*Assumptions!$B$11*O62/100+Q62*Assumptions!$B$3*Assumptions!$B$12*Assumptions!$B$11*O62/100</f>
        <v>45137.3390081627</v>
      </c>
      <c r="X62" s="18" t="n">
        <f aca="false">S62*Assumptions!$B$9*Assumptions!$B$19</f>
        <v>7500</v>
      </c>
      <c r="Y62" s="18" t="n">
        <f aca="false">W62+X62</f>
        <v>52637.3390081627</v>
      </c>
      <c r="Z62" s="18" t="n">
        <f aca="false">S62*Assumptions!$B$9</f>
        <v>300000</v>
      </c>
      <c r="AA62" s="17" t="n">
        <f aca="false">Q62*Assumptions!$B$13*Assumptions!$B$14*8760/1000</f>
        <v>5.68733318165928</v>
      </c>
      <c r="AB62" s="17" t="n">
        <f aca="false">Q62*Assumptions!$B$13*8760*1000*Assumptions!$B$15/1233481.8</f>
        <v>2.12805977917118</v>
      </c>
    </row>
    <row r="63" customFormat="false" ht="15" hidden="false" customHeight="false" outlineLevel="0" collapsed="false">
      <c r="A63" s="2" t="s">
        <v>340</v>
      </c>
      <c r="B63" s="2" t="s">
        <v>341</v>
      </c>
      <c r="C63" s="2" t="s">
        <v>342</v>
      </c>
      <c r="D63" s="2" t="s">
        <v>329</v>
      </c>
      <c r="E63" s="2" t="s">
        <v>330</v>
      </c>
      <c r="F63" s="2" t="s">
        <v>234</v>
      </c>
      <c r="G63" s="13" t="n">
        <v>20</v>
      </c>
      <c r="H63" s="13" t="s">
        <v>129</v>
      </c>
      <c r="I63" s="14" t="n">
        <v>2</v>
      </c>
      <c r="J63" s="13" t="n">
        <v>0</v>
      </c>
      <c r="K63" s="13" t="n">
        <v>0</v>
      </c>
      <c r="L63" s="13" t="n">
        <v>0</v>
      </c>
      <c r="M63" s="15" t="n">
        <v>0.005</v>
      </c>
      <c r="N63" s="15" t="n">
        <v>0.026</v>
      </c>
      <c r="O63" s="13" t="n">
        <v>10.5</v>
      </c>
      <c r="P63" s="16" t="n">
        <f aca="false">IF(H63="operating",I63*Facilities!$Z$118,0)</f>
        <v>0.665886100182564</v>
      </c>
      <c r="Q63" s="16" t="n">
        <f aca="false">IF(H63="operating",P63,IF(OR(H63="under construction",H63="approved/planned",H63="proposed"),I63,0))</f>
        <v>0.665886100182564</v>
      </c>
      <c r="R63" s="16" t="n">
        <f aca="false">Q63</f>
        <v>0.665886100182564</v>
      </c>
      <c r="S63" s="17" t="n">
        <f aca="false">IF(H63="cancelled/withdrawn",0,IF(K63&gt;0,K63,IF(AND(H63="operating",I63&gt;0,I63&lt;=2),MAX(3,Q63*IF(J63=1,Assumptions!$B$6,Assumptions!$B$7)),Q63*IF(J63=1,Assumptions!$B$6,Assumptions!$B$7))))</f>
        <v>3</v>
      </c>
      <c r="T63" s="17" t="n">
        <f aca="false">S63*Assumptions!$B$8</f>
        <v>5.67</v>
      </c>
      <c r="U63" s="17" t="n">
        <f aca="false">R63*Assumptions!$B$2/1000000*Assumptions!$B$4</f>
        <v>18.8112823301574</v>
      </c>
      <c r="V63" s="18" t="n">
        <f aca="false">R63*Assumptions!$B$2*Assumptions!$B$18*(Assumptions!$B$17+M63+N63)</f>
        <v>425511.206308161</v>
      </c>
      <c r="W63" s="18" t="n">
        <f aca="false">Q63*Assumptions!$B$2*Assumptions!$B$10*Assumptions!$B$11*O63/100+Q63*Assumptions!$B$3*Assumptions!$B$12*Assumptions!$B$11*O63/100</f>
        <v>45137.3390081627</v>
      </c>
      <c r="X63" s="18" t="n">
        <f aca="false">S63*Assumptions!$B$9*Assumptions!$B$19</f>
        <v>7500</v>
      </c>
      <c r="Y63" s="18" t="n">
        <f aca="false">W63+X63</f>
        <v>52637.3390081627</v>
      </c>
      <c r="Z63" s="18" t="n">
        <f aca="false">S63*Assumptions!$B$9</f>
        <v>300000</v>
      </c>
      <c r="AA63" s="17" t="n">
        <f aca="false">Q63*Assumptions!$B$13*Assumptions!$B$14*8760/1000</f>
        <v>5.68733318165928</v>
      </c>
      <c r="AB63" s="17" t="n">
        <f aca="false">Q63*Assumptions!$B$13*8760*1000*Assumptions!$B$15/1233481.8</f>
        <v>2.12805977917118</v>
      </c>
    </row>
    <row r="64" customFormat="false" ht="15" hidden="false" customHeight="false" outlineLevel="0" collapsed="false">
      <c r="A64" s="2" t="s">
        <v>343</v>
      </c>
      <c r="B64" s="2" t="s">
        <v>344</v>
      </c>
      <c r="C64" s="2" t="s">
        <v>345</v>
      </c>
      <c r="D64" s="2" t="s">
        <v>329</v>
      </c>
      <c r="E64" s="2" t="s">
        <v>330</v>
      </c>
      <c r="F64" s="2" t="s">
        <v>234</v>
      </c>
      <c r="G64" s="13" t="n">
        <v>21</v>
      </c>
      <c r="H64" s="13" t="s">
        <v>129</v>
      </c>
      <c r="I64" s="14" t="n">
        <v>2</v>
      </c>
      <c r="J64" s="13" t="n">
        <v>0</v>
      </c>
      <c r="K64" s="13" t="n">
        <v>0</v>
      </c>
      <c r="L64" s="13" t="n">
        <v>0</v>
      </c>
      <c r="M64" s="15" t="n">
        <v>0.005</v>
      </c>
      <c r="N64" s="15" t="n">
        <v>0.026</v>
      </c>
      <c r="O64" s="13" t="n">
        <v>10.5</v>
      </c>
      <c r="P64" s="16" t="n">
        <f aca="false">IF(H64="operating",I64*Facilities!$Z$118,0)</f>
        <v>0.665886100182564</v>
      </c>
      <c r="Q64" s="16" t="n">
        <f aca="false">IF(H64="operating",P64,IF(OR(H64="under construction",H64="approved/planned",H64="proposed"),I64,0))</f>
        <v>0.665886100182564</v>
      </c>
      <c r="R64" s="16" t="n">
        <f aca="false">Q64</f>
        <v>0.665886100182564</v>
      </c>
      <c r="S64" s="17" t="n">
        <f aca="false">IF(H64="cancelled/withdrawn",0,IF(K64&gt;0,K64,IF(AND(H64="operating",I64&gt;0,I64&lt;=2),MAX(3,Q64*IF(J64=1,Assumptions!$B$6,Assumptions!$B$7)),Q64*IF(J64=1,Assumptions!$B$6,Assumptions!$B$7))))</f>
        <v>3</v>
      </c>
      <c r="T64" s="17" t="n">
        <f aca="false">S64*Assumptions!$B$8</f>
        <v>5.67</v>
      </c>
      <c r="U64" s="17" t="n">
        <f aca="false">R64*Assumptions!$B$2/1000000*Assumptions!$B$4</f>
        <v>18.8112823301574</v>
      </c>
      <c r="V64" s="18" t="n">
        <f aca="false">R64*Assumptions!$B$2*Assumptions!$B$18*(Assumptions!$B$17+M64+N64)</f>
        <v>425511.206308161</v>
      </c>
      <c r="W64" s="18" t="n">
        <f aca="false">Q64*Assumptions!$B$2*Assumptions!$B$10*Assumptions!$B$11*O64/100+Q64*Assumptions!$B$3*Assumptions!$B$12*Assumptions!$B$11*O64/100</f>
        <v>45137.3390081627</v>
      </c>
      <c r="X64" s="18" t="n">
        <f aca="false">S64*Assumptions!$B$9*Assumptions!$B$19</f>
        <v>7500</v>
      </c>
      <c r="Y64" s="18" t="n">
        <f aca="false">W64+X64</f>
        <v>52637.3390081627</v>
      </c>
      <c r="Z64" s="18" t="n">
        <f aca="false">S64*Assumptions!$B$9</f>
        <v>300000</v>
      </c>
      <c r="AA64" s="17" t="n">
        <f aca="false">Q64*Assumptions!$B$13*Assumptions!$B$14*8760/1000</f>
        <v>5.68733318165928</v>
      </c>
      <c r="AB64" s="17" t="n">
        <f aca="false">Q64*Assumptions!$B$13*8760*1000*Assumptions!$B$15/1233481.8</f>
        <v>2.12805977917118</v>
      </c>
    </row>
    <row r="65" customFormat="false" ht="15" hidden="false" customHeight="false" outlineLevel="0" collapsed="false">
      <c r="A65" s="2" t="s">
        <v>346</v>
      </c>
      <c r="B65" s="2" t="s">
        <v>347</v>
      </c>
      <c r="C65" s="2" t="s">
        <v>348</v>
      </c>
      <c r="D65" s="2" t="s">
        <v>329</v>
      </c>
      <c r="E65" s="2" t="s">
        <v>330</v>
      </c>
      <c r="F65" s="2" t="s">
        <v>234</v>
      </c>
      <c r="G65" s="13" t="n">
        <v>18</v>
      </c>
      <c r="H65" s="13" t="s">
        <v>129</v>
      </c>
      <c r="I65" s="14" t="n">
        <v>2</v>
      </c>
      <c r="J65" s="13" t="n">
        <v>0</v>
      </c>
      <c r="K65" s="13" t="n">
        <v>0</v>
      </c>
      <c r="L65" s="13" t="n">
        <v>0</v>
      </c>
      <c r="M65" s="15" t="n">
        <v>0.005</v>
      </c>
      <c r="N65" s="15" t="n">
        <v>0.026</v>
      </c>
      <c r="O65" s="13" t="n">
        <v>10.5</v>
      </c>
      <c r="P65" s="16" t="n">
        <f aca="false">IF(H65="operating",I65*Facilities!$Z$118,0)</f>
        <v>0.665886100182564</v>
      </c>
      <c r="Q65" s="16" t="n">
        <f aca="false">IF(H65="operating",P65,IF(OR(H65="under construction",H65="approved/planned",H65="proposed"),I65,0))</f>
        <v>0.665886100182564</v>
      </c>
      <c r="R65" s="16" t="n">
        <f aca="false">Q65</f>
        <v>0.665886100182564</v>
      </c>
      <c r="S65" s="17" t="n">
        <f aca="false">IF(H65="cancelled/withdrawn",0,IF(K65&gt;0,K65,IF(AND(H65="operating",I65&gt;0,I65&lt;=2),MAX(3,Q65*IF(J65=1,Assumptions!$B$6,Assumptions!$B$7)),Q65*IF(J65=1,Assumptions!$B$6,Assumptions!$B$7))))</f>
        <v>3</v>
      </c>
      <c r="T65" s="17" t="n">
        <f aca="false">S65*Assumptions!$B$8</f>
        <v>5.67</v>
      </c>
      <c r="U65" s="17" t="n">
        <f aca="false">R65*Assumptions!$B$2/1000000*Assumptions!$B$4</f>
        <v>18.8112823301574</v>
      </c>
      <c r="V65" s="18" t="n">
        <f aca="false">R65*Assumptions!$B$2*Assumptions!$B$18*(Assumptions!$B$17+M65+N65)</f>
        <v>425511.206308161</v>
      </c>
      <c r="W65" s="18" t="n">
        <f aca="false">Q65*Assumptions!$B$2*Assumptions!$B$10*Assumptions!$B$11*O65/100+Q65*Assumptions!$B$3*Assumptions!$B$12*Assumptions!$B$11*O65/100</f>
        <v>45137.3390081627</v>
      </c>
      <c r="X65" s="18" t="n">
        <f aca="false">S65*Assumptions!$B$9*Assumptions!$B$19</f>
        <v>7500</v>
      </c>
      <c r="Y65" s="18" t="n">
        <f aca="false">W65+X65</f>
        <v>52637.3390081627</v>
      </c>
      <c r="Z65" s="18" t="n">
        <f aca="false">S65*Assumptions!$B$9</f>
        <v>300000</v>
      </c>
      <c r="AA65" s="17" t="n">
        <f aca="false">Q65*Assumptions!$B$13*Assumptions!$B$14*8760/1000</f>
        <v>5.68733318165928</v>
      </c>
      <c r="AB65" s="17" t="n">
        <f aca="false">Q65*Assumptions!$B$13*8760*1000*Assumptions!$B$15/1233481.8</f>
        <v>2.12805977917118</v>
      </c>
    </row>
    <row r="66" customFormat="false" ht="15" hidden="false" customHeight="false" outlineLevel="0" collapsed="false">
      <c r="A66" s="2" t="s">
        <v>349</v>
      </c>
      <c r="B66" s="2" t="s">
        <v>350</v>
      </c>
      <c r="C66" s="2" t="s">
        <v>351</v>
      </c>
      <c r="D66" s="2" t="s">
        <v>329</v>
      </c>
      <c r="E66" s="2" t="s">
        <v>330</v>
      </c>
      <c r="F66" s="2" t="s">
        <v>234</v>
      </c>
      <c r="G66" s="13" t="n">
        <v>21</v>
      </c>
      <c r="H66" s="13" t="s">
        <v>129</v>
      </c>
      <c r="I66" s="14" t="n">
        <v>2</v>
      </c>
      <c r="J66" s="13" t="n">
        <v>0</v>
      </c>
      <c r="K66" s="13" t="n">
        <v>0</v>
      </c>
      <c r="L66" s="13" t="n">
        <v>0</v>
      </c>
      <c r="M66" s="15" t="n">
        <v>0.005</v>
      </c>
      <c r="N66" s="15" t="n">
        <v>0.026</v>
      </c>
      <c r="O66" s="13" t="n">
        <v>10.5</v>
      </c>
      <c r="P66" s="16" t="n">
        <f aca="false">IF(H66="operating",I66*Facilities!$Z$118,0)</f>
        <v>0.665886100182564</v>
      </c>
      <c r="Q66" s="16" t="n">
        <f aca="false">IF(H66="operating",P66,IF(OR(H66="under construction",H66="approved/planned",H66="proposed"),I66,0))</f>
        <v>0.665886100182564</v>
      </c>
      <c r="R66" s="16" t="n">
        <f aca="false">Q66</f>
        <v>0.665886100182564</v>
      </c>
      <c r="S66" s="17" t="n">
        <f aca="false">IF(H66="cancelled/withdrawn",0,IF(K66&gt;0,K66,IF(AND(H66="operating",I66&gt;0,I66&lt;=2),MAX(3,Q66*IF(J66=1,Assumptions!$B$6,Assumptions!$B$7)),Q66*IF(J66=1,Assumptions!$B$6,Assumptions!$B$7))))</f>
        <v>3</v>
      </c>
      <c r="T66" s="17" t="n">
        <f aca="false">S66*Assumptions!$B$8</f>
        <v>5.67</v>
      </c>
      <c r="U66" s="17" t="n">
        <f aca="false">R66*Assumptions!$B$2/1000000*Assumptions!$B$4</f>
        <v>18.8112823301574</v>
      </c>
      <c r="V66" s="18" t="n">
        <f aca="false">R66*Assumptions!$B$2*Assumptions!$B$18*(Assumptions!$B$17+M66+N66)</f>
        <v>425511.206308161</v>
      </c>
      <c r="W66" s="18" t="n">
        <f aca="false">Q66*Assumptions!$B$2*Assumptions!$B$10*Assumptions!$B$11*O66/100+Q66*Assumptions!$B$3*Assumptions!$B$12*Assumptions!$B$11*O66/100</f>
        <v>45137.3390081627</v>
      </c>
      <c r="X66" s="18" t="n">
        <f aca="false">S66*Assumptions!$B$9*Assumptions!$B$19</f>
        <v>7500</v>
      </c>
      <c r="Y66" s="18" t="n">
        <f aca="false">W66+X66</f>
        <v>52637.3390081627</v>
      </c>
      <c r="Z66" s="18" t="n">
        <f aca="false">S66*Assumptions!$B$9</f>
        <v>300000</v>
      </c>
      <c r="AA66" s="17" t="n">
        <f aca="false">Q66*Assumptions!$B$13*Assumptions!$B$14*8760/1000</f>
        <v>5.68733318165928</v>
      </c>
      <c r="AB66" s="17" t="n">
        <f aca="false">Q66*Assumptions!$B$13*8760*1000*Assumptions!$B$15/1233481.8</f>
        <v>2.12805977917118</v>
      </c>
    </row>
    <row r="67" customFormat="false" ht="15" hidden="false" customHeight="false" outlineLevel="0" collapsed="false">
      <c r="A67" s="2" t="s">
        <v>352</v>
      </c>
      <c r="B67" s="2" t="s">
        <v>353</v>
      </c>
      <c r="C67" s="2" t="s">
        <v>339</v>
      </c>
      <c r="D67" s="2" t="s">
        <v>354</v>
      </c>
      <c r="E67" s="2" t="s">
        <v>355</v>
      </c>
      <c r="F67" s="2" t="s">
        <v>234</v>
      </c>
      <c r="G67" s="13" t="n">
        <v>19</v>
      </c>
      <c r="H67" s="13" t="s">
        <v>129</v>
      </c>
      <c r="I67" s="14" t="n">
        <v>2</v>
      </c>
      <c r="J67" s="13" t="n">
        <v>0</v>
      </c>
      <c r="K67" s="13" t="n">
        <v>0</v>
      </c>
      <c r="L67" s="13" t="n">
        <v>0</v>
      </c>
      <c r="M67" s="15" t="n">
        <v>0.005</v>
      </c>
      <c r="N67" s="15" t="n">
        <v>0.03</v>
      </c>
      <c r="O67" s="13" t="n">
        <v>10.5</v>
      </c>
      <c r="P67" s="16" t="n">
        <f aca="false">IF(H67="operating",I67*Facilities!$Z$118,0)</f>
        <v>0.665886100182564</v>
      </c>
      <c r="Q67" s="16" t="n">
        <f aca="false">IF(H67="operating",P67,IF(OR(H67="under construction",H67="approved/planned",H67="proposed"),I67,0))</f>
        <v>0.665886100182564</v>
      </c>
      <c r="R67" s="16" t="n">
        <f aca="false">Q67</f>
        <v>0.665886100182564</v>
      </c>
      <c r="S67" s="17" t="n">
        <f aca="false">IF(H67="cancelled/withdrawn",0,IF(K67&gt;0,K67,IF(AND(H67="operating",I67&gt;0,I67&lt;=2),MAX(3,Q67*IF(J67=1,Assumptions!$B$6,Assumptions!$B$7)),Q67*IF(J67=1,Assumptions!$B$6,Assumptions!$B$7))))</f>
        <v>3</v>
      </c>
      <c r="T67" s="17" t="n">
        <f aca="false">S67*Assumptions!$B$8</f>
        <v>5.67</v>
      </c>
      <c r="U67" s="17" t="n">
        <f aca="false">R67*Assumptions!$B$2/1000000*Assumptions!$B$4</f>
        <v>18.8112823301574</v>
      </c>
      <c r="V67" s="18" t="n">
        <f aca="false">R67*Assumptions!$B$2*Assumptions!$B$18*(Assumptions!$B$17+M67+N67)</f>
        <v>445074.939931525</v>
      </c>
      <c r="W67" s="18" t="n">
        <f aca="false">Q67*Assumptions!$B$2*Assumptions!$B$10*Assumptions!$B$11*O67/100+Q67*Assumptions!$B$3*Assumptions!$B$12*Assumptions!$B$11*O67/100</f>
        <v>45137.3390081627</v>
      </c>
      <c r="X67" s="18" t="n">
        <f aca="false">S67*Assumptions!$B$9*Assumptions!$B$19</f>
        <v>7500</v>
      </c>
      <c r="Y67" s="18" t="n">
        <f aca="false">W67+X67</f>
        <v>52637.3390081627</v>
      </c>
      <c r="Z67" s="18" t="n">
        <f aca="false">S67*Assumptions!$B$9</f>
        <v>300000</v>
      </c>
      <c r="AA67" s="17" t="n">
        <f aca="false">Q67*Assumptions!$B$13*Assumptions!$B$14*8760/1000</f>
        <v>5.68733318165928</v>
      </c>
      <c r="AB67" s="17" t="n">
        <f aca="false">Q67*Assumptions!$B$13*8760*1000*Assumptions!$B$15/1233481.8</f>
        <v>2.12805977917118</v>
      </c>
    </row>
    <row r="68" customFormat="false" ht="15" hidden="false" customHeight="false" outlineLevel="0" collapsed="false">
      <c r="A68" s="2" t="s">
        <v>356</v>
      </c>
      <c r="B68" s="2" t="s">
        <v>357</v>
      </c>
      <c r="C68" s="2" t="s">
        <v>137</v>
      </c>
      <c r="D68" s="2" t="s">
        <v>133</v>
      </c>
      <c r="E68" s="2" t="s">
        <v>127</v>
      </c>
      <c r="F68" s="2" t="s">
        <v>358</v>
      </c>
      <c r="G68" s="13" t="n">
        <v>11</v>
      </c>
      <c r="H68" s="13" t="s">
        <v>129</v>
      </c>
      <c r="I68" s="14" t="n">
        <v>0</v>
      </c>
      <c r="J68" s="13" t="n">
        <v>1</v>
      </c>
      <c r="K68" s="13" t="n">
        <v>0</v>
      </c>
      <c r="L68" s="13" t="n">
        <v>0</v>
      </c>
      <c r="M68" s="15" t="n">
        <v>0.007</v>
      </c>
      <c r="N68" s="15" t="n">
        <v>0.035</v>
      </c>
      <c r="O68" s="13" t="n">
        <v>11</v>
      </c>
      <c r="P68" s="16" t="n">
        <f aca="false">IF(H68="operating",I68*Facilities!$Z$118,0)</f>
        <v>0</v>
      </c>
      <c r="Q68" s="16" t="n">
        <f aca="false">IF(H68="operating",P68,IF(OR(H68="under construction",H68="approved/planned",H68="proposed"),I68,0))</f>
        <v>0</v>
      </c>
      <c r="R68" s="16" t="n">
        <f aca="false">Q68</f>
        <v>0</v>
      </c>
      <c r="S68" s="17" t="n">
        <f aca="false">IF(H68="cancelled/withdrawn",0,IF(K68&gt;0,K68,IF(AND(H68="operating",I68&gt;0,I68&lt;=2),MAX(3,Q68*IF(J68=1,Assumptions!$B$6,Assumptions!$B$7)),Q68*IF(J68=1,Assumptions!$B$6,Assumptions!$B$7))))</f>
        <v>0</v>
      </c>
      <c r="T68" s="17" t="n">
        <f aca="false">S68*Assumptions!$B$8</f>
        <v>0</v>
      </c>
      <c r="U68" s="17" t="n">
        <f aca="false">R68*Assumptions!$B$2/1000000*Assumptions!$B$4</f>
        <v>0</v>
      </c>
      <c r="V68" s="18" t="n">
        <f aca="false">R68*Assumptions!$B$2*Assumptions!$B$18*(Assumptions!$B$17+M68+N68)</f>
        <v>0</v>
      </c>
      <c r="W68" s="18" t="n">
        <f aca="false">Q68*Assumptions!$B$2*Assumptions!$B$10*Assumptions!$B$11*O68/100+Q68*Assumptions!$B$3*Assumptions!$B$12*Assumptions!$B$11*O68/100</f>
        <v>0</v>
      </c>
      <c r="X68" s="18" t="n">
        <f aca="false">S68*Assumptions!$B$9*Assumptions!$B$19</f>
        <v>0</v>
      </c>
      <c r="Y68" s="18" t="n">
        <f aca="false">W68+X68</f>
        <v>0</v>
      </c>
      <c r="Z68" s="18" t="n">
        <f aca="false">S68*Assumptions!$B$9</f>
        <v>0</v>
      </c>
      <c r="AA68" s="17" t="n">
        <f aca="false">Q68*Assumptions!$B$13*Assumptions!$B$14*8760/1000</f>
        <v>0</v>
      </c>
      <c r="AB68" s="17" t="n">
        <f aca="false">Q68*Assumptions!$B$13*8760*1000*Assumptions!$B$15/1233481.8</f>
        <v>0</v>
      </c>
    </row>
    <row r="69" customFormat="false" ht="15" hidden="false" customHeight="false" outlineLevel="0" collapsed="false">
      <c r="A69" s="2" t="s">
        <v>359</v>
      </c>
      <c r="B69" s="2" t="s">
        <v>360</v>
      </c>
      <c r="C69" s="2" t="s">
        <v>361</v>
      </c>
      <c r="D69" s="2" t="s">
        <v>362</v>
      </c>
      <c r="E69" s="2" t="s">
        <v>330</v>
      </c>
      <c r="F69" s="2" t="s">
        <v>363</v>
      </c>
      <c r="G69" s="13" t="n">
        <v>19</v>
      </c>
      <c r="H69" s="13" t="s">
        <v>364</v>
      </c>
      <c r="I69" s="14" t="n">
        <v>600</v>
      </c>
      <c r="J69" s="13" t="n">
        <v>1</v>
      </c>
      <c r="K69" s="13" t="n">
        <v>180</v>
      </c>
      <c r="L69" s="13" t="n">
        <v>0</v>
      </c>
      <c r="M69" s="15" t="n">
        <v>0.005</v>
      </c>
      <c r="N69" s="15" t="n">
        <v>0</v>
      </c>
      <c r="O69" s="13" t="n">
        <v>10.5</v>
      </c>
      <c r="P69" s="16" t="n">
        <f aca="false">IF(H69="operating",I69*Facilities!$Z$118,0)</f>
        <v>0</v>
      </c>
      <c r="Q69" s="16" t="n">
        <f aca="false">IF(H69="operating",P69,IF(OR(H69="under construction",H69="approved/planned",H69="proposed"),I69,0))</f>
        <v>600</v>
      </c>
      <c r="R69" s="16" t="n">
        <f aca="false">Q69</f>
        <v>600</v>
      </c>
      <c r="S69" s="17" t="n">
        <f aca="false">IF(H69="cancelled/withdrawn",0,IF(K69&gt;0,K69,IF(AND(H69="operating",I69&gt;0,I69&lt;=2),MAX(3,Q69*IF(J69=1,Assumptions!$B$6,Assumptions!$B$7)),Q69*IF(J69=1,Assumptions!$B$6,Assumptions!$B$7))))</f>
        <v>180</v>
      </c>
      <c r="T69" s="17" t="n">
        <f aca="false">S69*Assumptions!$B$8</f>
        <v>340.2</v>
      </c>
      <c r="U69" s="17" t="n">
        <f aca="false">R69*Assumptions!$B$2/1000000*Assumptions!$B$4</f>
        <v>16950</v>
      </c>
      <c r="V69" s="18" t="n">
        <f aca="false">R69*Assumptions!$B$2*Assumptions!$B$18*(Assumptions!$B$17+M69+N69)</f>
        <v>268827000</v>
      </c>
      <c r="W69" s="18" t="n">
        <f aca="false">Q69*Assumptions!$B$2*Assumptions!$B$10*Assumptions!$B$11*O69/100+Q69*Assumptions!$B$3*Assumptions!$B$12*Assumptions!$B$11*O69/100</f>
        <v>40671225</v>
      </c>
      <c r="X69" s="18" t="n">
        <f aca="false">S69*Assumptions!$B$9*Assumptions!$B$19</f>
        <v>450000</v>
      </c>
      <c r="Y69" s="18" t="n">
        <f aca="false">W69+X69</f>
        <v>41121225</v>
      </c>
      <c r="Z69" s="18" t="n">
        <f aca="false">S69*Assumptions!$B$9</f>
        <v>18000000</v>
      </c>
      <c r="AA69" s="17" t="n">
        <f aca="false">Q69*Assumptions!$B$13*Assumptions!$B$14*8760/1000</f>
        <v>5124.6</v>
      </c>
      <c r="AB69" s="17" t="n">
        <f aca="false">Q69*Assumptions!$B$13*8760*1000*Assumptions!$B$15/1233481.8</f>
        <v>1917.49890432109</v>
      </c>
    </row>
    <row r="70" customFormat="false" ht="15" hidden="false" customHeight="false" outlineLevel="0" collapsed="false">
      <c r="A70" s="2" t="s">
        <v>365</v>
      </c>
      <c r="B70" s="2" t="s">
        <v>366</v>
      </c>
      <c r="C70" s="2" t="s">
        <v>367</v>
      </c>
      <c r="D70" s="2" t="s">
        <v>126</v>
      </c>
      <c r="E70" s="2" t="s">
        <v>127</v>
      </c>
      <c r="F70" s="2" t="s">
        <v>368</v>
      </c>
      <c r="G70" s="13" t="n">
        <v>15</v>
      </c>
      <c r="H70" s="13" t="s">
        <v>364</v>
      </c>
      <c r="I70" s="14" t="n">
        <v>300</v>
      </c>
      <c r="J70" s="13" t="n">
        <v>1</v>
      </c>
      <c r="K70" s="13" t="n">
        <v>200</v>
      </c>
      <c r="L70" s="13" t="n">
        <v>0</v>
      </c>
      <c r="M70" s="15" t="n">
        <v>0.007</v>
      </c>
      <c r="N70" s="15" t="n">
        <v>0.02</v>
      </c>
      <c r="O70" s="13" t="n">
        <v>9.3</v>
      </c>
      <c r="P70" s="16" t="n">
        <f aca="false">IF(H70="operating",I70*Facilities!$Z$118,0)</f>
        <v>0</v>
      </c>
      <c r="Q70" s="16" t="n">
        <f aca="false">IF(H70="operating",P70,IF(OR(H70="under construction",H70="approved/planned",H70="proposed"),I70,0))</f>
        <v>300</v>
      </c>
      <c r="R70" s="16" t="n">
        <f aca="false">Q70</f>
        <v>300</v>
      </c>
      <c r="S70" s="17" t="n">
        <f aca="false">IF(H70="cancelled/withdrawn",0,IF(K70&gt;0,K70,IF(AND(H70="operating",I70&gt;0,I70&lt;=2),MAX(3,Q70*IF(J70=1,Assumptions!$B$6,Assumptions!$B$7)),Q70*IF(J70=1,Assumptions!$B$6,Assumptions!$B$7))))</f>
        <v>200</v>
      </c>
      <c r="T70" s="17" t="n">
        <f aca="false">S70*Assumptions!$B$8</f>
        <v>378</v>
      </c>
      <c r="U70" s="17" t="n">
        <f aca="false">R70*Assumptions!$B$2/1000000*Assumptions!$B$4</f>
        <v>8475</v>
      </c>
      <c r="V70" s="18" t="n">
        <f aca="false">R70*Assumptions!$B$2*Assumptions!$B$18*(Assumptions!$B$17+M70+N70)</f>
        <v>182890500</v>
      </c>
      <c r="W70" s="18" t="n">
        <f aca="false">Q70*Assumptions!$B$2*Assumptions!$B$10*Assumptions!$B$11*O70/100+Q70*Assumptions!$B$3*Assumptions!$B$12*Assumptions!$B$11*O70/100</f>
        <v>18011542.5</v>
      </c>
      <c r="X70" s="18" t="n">
        <f aca="false">S70*Assumptions!$B$9*Assumptions!$B$19</f>
        <v>500000</v>
      </c>
      <c r="Y70" s="18" t="n">
        <f aca="false">W70+X70</f>
        <v>18511542.5</v>
      </c>
      <c r="Z70" s="18" t="n">
        <f aca="false">S70*Assumptions!$B$9</f>
        <v>20000000</v>
      </c>
      <c r="AA70" s="17" t="n">
        <f aca="false">Q70*Assumptions!$B$13*Assumptions!$B$14*8760/1000</f>
        <v>2562.3</v>
      </c>
      <c r="AB70" s="17" t="n">
        <f aca="false">Q70*Assumptions!$B$13*8760*1000*Assumptions!$B$15/1233481.8</f>
        <v>958.749452160543</v>
      </c>
    </row>
    <row r="71" customFormat="false" ht="15" hidden="false" customHeight="false" outlineLevel="0" collapsed="false">
      <c r="A71" s="2" t="s">
        <v>369</v>
      </c>
      <c r="B71" s="2" t="s">
        <v>370</v>
      </c>
      <c r="C71" s="2" t="s">
        <v>149</v>
      </c>
      <c r="D71" s="2" t="s">
        <v>155</v>
      </c>
      <c r="E71" s="2" t="s">
        <v>127</v>
      </c>
      <c r="F71" s="2" t="s">
        <v>371</v>
      </c>
      <c r="G71" s="13" t="n">
        <v>8</v>
      </c>
      <c r="H71" s="13" t="s">
        <v>364</v>
      </c>
      <c r="I71" s="14" t="n">
        <v>250</v>
      </c>
      <c r="J71" s="13" t="n">
        <v>1</v>
      </c>
      <c r="K71" s="13" t="n">
        <v>0</v>
      </c>
      <c r="L71" s="13" t="n">
        <v>0</v>
      </c>
      <c r="M71" s="15" t="n">
        <v>0.007</v>
      </c>
      <c r="N71" s="15" t="n">
        <v>0.028</v>
      </c>
      <c r="O71" s="13" t="n">
        <v>11</v>
      </c>
      <c r="P71" s="16" t="n">
        <f aca="false">IF(H71="operating",I71*Facilities!$Z$118,0)</f>
        <v>0</v>
      </c>
      <c r="Q71" s="16" t="n">
        <f aca="false">IF(H71="operating",P71,IF(OR(H71="under construction",H71="approved/planned",H71="proposed"),I71,0))</f>
        <v>250</v>
      </c>
      <c r="R71" s="16" t="n">
        <f aca="false">Q71</f>
        <v>250</v>
      </c>
      <c r="S71" s="17" t="n">
        <f aca="false">IF(H71="cancelled/withdrawn",0,IF(K71&gt;0,K71,IF(AND(H71="operating",I71&gt;0,I71&lt;=2),MAX(3,Q71*IF(J71=1,Assumptions!$B$6,Assumptions!$B$7)),Q71*IF(J71=1,Assumptions!$B$6,Assumptions!$B$7))))</f>
        <v>150</v>
      </c>
      <c r="T71" s="17" t="n">
        <f aca="false">S71*Assumptions!$B$8</f>
        <v>283.5</v>
      </c>
      <c r="U71" s="17" t="n">
        <f aca="false">R71*Assumptions!$B$2/1000000*Assumptions!$B$4</f>
        <v>7062.5</v>
      </c>
      <c r="V71" s="18" t="n">
        <f aca="false">R71*Assumptions!$B$2*Assumptions!$B$18*(Assumptions!$B$17+M71+N71)</f>
        <v>167098750</v>
      </c>
      <c r="W71" s="18" t="n">
        <f aca="false">Q71*Assumptions!$B$2*Assumptions!$B$10*Assumptions!$B$11*O71/100+Q71*Assumptions!$B$3*Assumptions!$B$12*Assumptions!$B$11*O71/100</f>
        <v>17753312.5</v>
      </c>
      <c r="X71" s="18" t="n">
        <f aca="false">S71*Assumptions!$B$9*Assumptions!$B$19</f>
        <v>375000</v>
      </c>
      <c r="Y71" s="18" t="n">
        <f aca="false">W71+X71</f>
        <v>18128312.5</v>
      </c>
      <c r="Z71" s="18" t="n">
        <f aca="false">S71*Assumptions!$B$9</f>
        <v>15000000</v>
      </c>
      <c r="AA71" s="17" t="n">
        <f aca="false">Q71*Assumptions!$B$13*Assumptions!$B$14*8760/1000</f>
        <v>2135.25</v>
      </c>
      <c r="AB71" s="17" t="n">
        <f aca="false">Q71*Assumptions!$B$13*8760*1000*Assumptions!$B$15/1233481.8</f>
        <v>798.957876800452</v>
      </c>
    </row>
    <row r="72" customFormat="false" ht="15" hidden="false" customHeight="false" outlineLevel="0" collapsed="false">
      <c r="A72" s="2" t="s">
        <v>372</v>
      </c>
      <c r="B72" s="2" t="s">
        <v>373</v>
      </c>
      <c r="C72" s="2" t="s">
        <v>374</v>
      </c>
      <c r="D72" s="2" t="s">
        <v>150</v>
      </c>
      <c r="E72" s="2" t="s">
        <v>127</v>
      </c>
      <c r="F72" s="2" t="s">
        <v>375</v>
      </c>
      <c r="G72" s="13" t="n">
        <v>22</v>
      </c>
      <c r="H72" s="13" t="s">
        <v>364</v>
      </c>
      <c r="I72" s="14" t="n">
        <v>240</v>
      </c>
      <c r="J72" s="13" t="n">
        <v>0</v>
      </c>
      <c r="K72" s="13" t="n">
        <v>0</v>
      </c>
      <c r="L72" s="13" t="n">
        <v>0</v>
      </c>
      <c r="M72" s="15" t="n">
        <v>0.007</v>
      </c>
      <c r="N72" s="15" t="n">
        <v>0.025</v>
      </c>
      <c r="O72" s="13" t="n">
        <v>13.02</v>
      </c>
      <c r="P72" s="16" t="n">
        <f aca="false">IF(H72="operating",I72*Facilities!$Z$118,0)</f>
        <v>0</v>
      </c>
      <c r="Q72" s="16" t="n">
        <f aca="false">IF(H72="operating",P72,IF(OR(H72="under construction",H72="approved/planned",H72="proposed"),I72,0))</f>
        <v>240</v>
      </c>
      <c r="R72" s="16" t="n">
        <f aca="false">Q72</f>
        <v>240</v>
      </c>
      <c r="S72" s="17" t="n">
        <f aca="false">IF(H72="cancelled/withdrawn",0,IF(K72&gt;0,K72,IF(AND(H72="operating",I72&gt;0,I72&lt;=2),MAX(3,Q72*IF(J72=1,Assumptions!$B$6,Assumptions!$B$7)),Q72*IF(J72=1,Assumptions!$B$6,Assumptions!$B$7))))</f>
        <v>480</v>
      </c>
      <c r="T72" s="17" t="n">
        <f aca="false">S72*Assumptions!$B$8</f>
        <v>907.2</v>
      </c>
      <c r="U72" s="17" t="n">
        <f aca="false">R72*Assumptions!$B$2/1000000*Assumptions!$B$4</f>
        <v>6780</v>
      </c>
      <c r="V72" s="18" t="n">
        <f aca="false">R72*Assumptions!$B$2*Assumptions!$B$18*(Assumptions!$B$17+M72+N72)</f>
        <v>155126400</v>
      </c>
      <c r="W72" s="18" t="n">
        <f aca="false">Q72*Assumptions!$B$2*Assumptions!$B$10*Assumptions!$B$11*O72/100+Q72*Assumptions!$B$3*Assumptions!$B$12*Assumptions!$B$11*O72/100</f>
        <v>20172927.6</v>
      </c>
      <c r="X72" s="18" t="n">
        <f aca="false">S72*Assumptions!$B$9*Assumptions!$B$19</f>
        <v>1200000</v>
      </c>
      <c r="Y72" s="18" t="n">
        <f aca="false">W72+X72</f>
        <v>21372927.6</v>
      </c>
      <c r="Z72" s="18" t="n">
        <f aca="false">S72*Assumptions!$B$9</f>
        <v>48000000</v>
      </c>
      <c r="AA72" s="17" t="n">
        <f aca="false">Q72*Assumptions!$B$13*Assumptions!$B$14*8760/1000</f>
        <v>2049.84</v>
      </c>
      <c r="AB72" s="17" t="n">
        <f aca="false">Q72*Assumptions!$B$13*8760*1000*Assumptions!$B$15/1233481.8</f>
        <v>766.999561728434</v>
      </c>
    </row>
    <row r="73" customFormat="false" ht="15" hidden="false" customHeight="false" outlineLevel="0" collapsed="false">
      <c r="A73" s="2" t="s">
        <v>376</v>
      </c>
      <c r="B73" s="2" t="s">
        <v>377</v>
      </c>
      <c r="C73" s="2" t="s">
        <v>378</v>
      </c>
      <c r="D73" s="2" t="s">
        <v>155</v>
      </c>
      <c r="E73" s="2" t="s">
        <v>127</v>
      </c>
      <c r="F73" s="2" t="s">
        <v>379</v>
      </c>
      <c r="G73" s="13" t="n">
        <v>12</v>
      </c>
      <c r="H73" s="13" t="s">
        <v>364</v>
      </c>
      <c r="I73" s="14" t="n">
        <v>180</v>
      </c>
      <c r="J73" s="13" t="n">
        <v>0</v>
      </c>
      <c r="K73" s="13" t="n">
        <v>0</v>
      </c>
      <c r="L73" s="13" t="n">
        <v>0</v>
      </c>
      <c r="M73" s="15" t="n">
        <v>0.007</v>
      </c>
      <c r="N73" s="15" t="n">
        <v>0.028</v>
      </c>
      <c r="O73" s="13" t="n">
        <v>11</v>
      </c>
      <c r="P73" s="16" t="n">
        <f aca="false">IF(H73="operating",I73*Facilities!$Z$118,0)</f>
        <v>0</v>
      </c>
      <c r="Q73" s="16" t="n">
        <f aca="false">IF(H73="operating",P73,IF(OR(H73="under construction",H73="approved/planned",H73="proposed"),I73,0))</f>
        <v>180</v>
      </c>
      <c r="R73" s="16" t="n">
        <f aca="false">Q73</f>
        <v>180</v>
      </c>
      <c r="S73" s="17" t="n">
        <f aca="false">IF(H73="cancelled/withdrawn",0,IF(K73&gt;0,K73,IF(AND(H73="operating",I73&gt;0,I73&lt;=2),MAX(3,Q73*IF(J73=1,Assumptions!$B$6,Assumptions!$B$7)),Q73*IF(J73=1,Assumptions!$B$6,Assumptions!$B$7))))</f>
        <v>360</v>
      </c>
      <c r="T73" s="17" t="n">
        <f aca="false">S73*Assumptions!$B$8</f>
        <v>680.4</v>
      </c>
      <c r="U73" s="17" t="n">
        <f aca="false">R73*Assumptions!$B$2/1000000*Assumptions!$B$4</f>
        <v>5085</v>
      </c>
      <c r="V73" s="18" t="n">
        <f aca="false">R73*Assumptions!$B$2*Assumptions!$B$18*(Assumptions!$B$17+M73+N73)</f>
        <v>120311100</v>
      </c>
      <c r="W73" s="18" t="n">
        <f aca="false">Q73*Assumptions!$B$2*Assumptions!$B$10*Assumptions!$B$11*O73/100+Q73*Assumptions!$B$3*Assumptions!$B$12*Assumptions!$B$11*O73/100</f>
        <v>12782385</v>
      </c>
      <c r="X73" s="18" t="n">
        <f aca="false">S73*Assumptions!$B$9*Assumptions!$B$19</f>
        <v>900000</v>
      </c>
      <c r="Y73" s="18" t="n">
        <f aca="false">W73+X73</f>
        <v>13682385</v>
      </c>
      <c r="Z73" s="18" t="n">
        <f aca="false">S73*Assumptions!$B$9</f>
        <v>36000000</v>
      </c>
      <c r="AA73" s="17" t="n">
        <f aca="false">Q73*Assumptions!$B$13*Assumptions!$B$14*8760/1000</f>
        <v>1537.38</v>
      </c>
      <c r="AB73" s="17" t="n">
        <f aca="false">Q73*Assumptions!$B$13*8760*1000*Assumptions!$B$15/1233481.8</f>
        <v>575.249671296326</v>
      </c>
    </row>
    <row r="74" customFormat="false" ht="15" hidden="false" customHeight="false" outlineLevel="0" collapsed="false">
      <c r="A74" s="2" t="s">
        <v>380</v>
      </c>
      <c r="B74" s="2" t="s">
        <v>381</v>
      </c>
      <c r="C74" s="2" t="s">
        <v>230</v>
      </c>
      <c r="D74" s="2" t="s">
        <v>126</v>
      </c>
      <c r="E74" s="2" t="s">
        <v>127</v>
      </c>
      <c r="F74" s="2" t="s">
        <v>382</v>
      </c>
      <c r="G74" s="13" t="n">
        <v>15</v>
      </c>
      <c r="H74" s="13" t="s">
        <v>364</v>
      </c>
      <c r="I74" s="14" t="n">
        <v>167</v>
      </c>
      <c r="J74" s="13" t="n">
        <v>0</v>
      </c>
      <c r="K74" s="13" t="n">
        <v>0</v>
      </c>
      <c r="L74" s="13" t="n">
        <v>0</v>
      </c>
      <c r="M74" s="15" t="n">
        <v>0.007</v>
      </c>
      <c r="N74" s="15" t="n">
        <v>0.02</v>
      </c>
      <c r="O74" s="13" t="n">
        <v>9.3</v>
      </c>
      <c r="P74" s="16" t="n">
        <f aca="false">IF(H74="operating",I74*Facilities!$Z$118,0)</f>
        <v>0</v>
      </c>
      <c r="Q74" s="16" t="n">
        <f aca="false">IF(H74="operating",P74,IF(OR(H74="under construction",H74="approved/planned",H74="proposed"),I74,0))</f>
        <v>167</v>
      </c>
      <c r="R74" s="16" t="n">
        <f aca="false">Q74</f>
        <v>167</v>
      </c>
      <c r="S74" s="17" t="n">
        <f aca="false">IF(H74="cancelled/withdrawn",0,IF(K74&gt;0,K74,IF(AND(H74="operating",I74&gt;0,I74&lt;=2),MAX(3,Q74*IF(J74=1,Assumptions!$B$6,Assumptions!$B$7)),Q74*IF(J74=1,Assumptions!$B$6,Assumptions!$B$7))))</f>
        <v>334</v>
      </c>
      <c r="T74" s="17" t="n">
        <f aca="false">S74*Assumptions!$B$8</f>
        <v>631.26</v>
      </c>
      <c r="U74" s="17" t="n">
        <f aca="false">R74*Assumptions!$B$2/1000000*Assumptions!$B$4</f>
        <v>4717.75</v>
      </c>
      <c r="V74" s="18" t="n">
        <f aca="false">R74*Assumptions!$B$2*Assumptions!$B$18*(Assumptions!$B$17+M74+N74)</f>
        <v>101809045</v>
      </c>
      <c r="W74" s="18" t="n">
        <f aca="false">Q74*Assumptions!$B$2*Assumptions!$B$10*Assumptions!$B$11*O74/100+Q74*Assumptions!$B$3*Assumptions!$B$12*Assumptions!$B$11*O74/100</f>
        <v>10026425.325</v>
      </c>
      <c r="X74" s="18" t="n">
        <f aca="false">S74*Assumptions!$B$9*Assumptions!$B$19</f>
        <v>835000</v>
      </c>
      <c r="Y74" s="18" t="n">
        <f aca="false">W74+X74</f>
        <v>10861425.325</v>
      </c>
      <c r="Z74" s="18" t="n">
        <f aca="false">S74*Assumptions!$B$9</f>
        <v>33400000</v>
      </c>
      <c r="AA74" s="17" t="n">
        <f aca="false">Q74*Assumptions!$B$13*Assumptions!$B$14*8760/1000</f>
        <v>1426.347</v>
      </c>
      <c r="AB74" s="17" t="n">
        <f aca="false">Q74*Assumptions!$B$13*8760*1000*Assumptions!$B$15/1233481.8</f>
        <v>533.703861702702</v>
      </c>
    </row>
    <row r="75" customFormat="false" ht="15" hidden="false" customHeight="false" outlineLevel="0" collapsed="false">
      <c r="A75" s="2" t="s">
        <v>383</v>
      </c>
      <c r="B75" s="2" t="s">
        <v>384</v>
      </c>
      <c r="C75" s="2" t="s">
        <v>385</v>
      </c>
      <c r="D75" s="2" t="s">
        <v>126</v>
      </c>
      <c r="E75" s="2" t="s">
        <v>127</v>
      </c>
      <c r="F75" s="2" t="s">
        <v>386</v>
      </c>
      <c r="G75" s="13" t="n">
        <v>15</v>
      </c>
      <c r="H75" s="13" t="s">
        <v>364</v>
      </c>
      <c r="I75" s="14" t="n">
        <v>76</v>
      </c>
      <c r="J75" s="13" t="n">
        <v>1</v>
      </c>
      <c r="K75" s="13" t="n">
        <v>0</v>
      </c>
      <c r="L75" s="13" t="n">
        <v>0</v>
      </c>
      <c r="M75" s="15" t="n">
        <v>0.007</v>
      </c>
      <c r="N75" s="15" t="n">
        <v>0.02</v>
      </c>
      <c r="O75" s="13" t="n">
        <v>9.3</v>
      </c>
      <c r="P75" s="16" t="n">
        <f aca="false">IF(H75="operating",I75*Facilities!$Z$118,0)</f>
        <v>0</v>
      </c>
      <c r="Q75" s="16" t="n">
        <f aca="false">IF(H75="operating",P75,IF(OR(H75="under construction",H75="approved/planned",H75="proposed"),I75,0))</f>
        <v>76</v>
      </c>
      <c r="R75" s="16" t="n">
        <f aca="false">Q75</f>
        <v>76</v>
      </c>
      <c r="S75" s="17" t="n">
        <f aca="false">IF(H75="cancelled/withdrawn",0,IF(K75&gt;0,K75,IF(AND(H75="operating",I75&gt;0,I75&lt;=2),MAX(3,Q75*IF(J75=1,Assumptions!$B$6,Assumptions!$B$7)),Q75*IF(J75=1,Assumptions!$B$6,Assumptions!$B$7))))</f>
        <v>45.6</v>
      </c>
      <c r="T75" s="17" t="n">
        <f aca="false">S75*Assumptions!$B$8</f>
        <v>86.184</v>
      </c>
      <c r="U75" s="17" t="n">
        <f aca="false">R75*Assumptions!$B$2/1000000*Assumptions!$B$4</f>
        <v>2147</v>
      </c>
      <c r="V75" s="18" t="n">
        <f aca="false">R75*Assumptions!$B$2*Assumptions!$B$18*(Assumptions!$B$17+M75+N75)</f>
        <v>46332260</v>
      </c>
      <c r="W75" s="18" t="n">
        <f aca="false">Q75*Assumptions!$B$2*Assumptions!$B$10*Assumptions!$B$11*O75/100+Q75*Assumptions!$B$3*Assumptions!$B$12*Assumptions!$B$11*O75/100</f>
        <v>4562924.1</v>
      </c>
      <c r="X75" s="18" t="n">
        <f aca="false">S75*Assumptions!$B$9*Assumptions!$B$19</f>
        <v>114000</v>
      </c>
      <c r="Y75" s="18" t="n">
        <f aca="false">W75+X75</f>
        <v>4676924.1</v>
      </c>
      <c r="Z75" s="18" t="n">
        <f aca="false">S75*Assumptions!$B$9</f>
        <v>4560000</v>
      </c>
      <c r="AA75" s="17" t="n">
        <f aca="false">Q75*Assumptions!$B$13*Assumptions!$B$14*8760/1000</f>
        <v>649.116</v>
      </c>
      <c r="AB75" s="17" t="n">
        <f aca="false">Q75*Assumptions!$B$13*8760*1000*Assumptions!$B$15/1233481.8</f>
        <v>242.883194547337</v>
      </c>
    </row>
    <row r="76" customFormat="false" ht="15" hidden="false" customHeight="false" outlineLevel="0" collapsed="false">
      <c r="A76" s="2" t="s">
        <v>387</v>
      </c>
      <c r="B76" s="2" t="s">
        <v>388</v>
      </c>
      <c r="C76" s="2" t="s">
        <v>159</v>
      </c>
      <c r="D76" s="2" t="s">
        <v>389</v>
      </c>
      <c r="E76" s="2" t="s">
        <v>127</v>
      </c>
      <c r="F76" s="2" t="s">
        <v>390</v>
      </c>
      <c r="G76" s="13" t="n">
        <v>24</v>
      </c>
      <c r="H76" s="13" t="s">
        <v>364</v>
      </c>
      <c r="I76" s="14" t="n">
        <v>72</v>
      </c>
      <c r="J76" s="13" t="n">
        <v>0</v>
      </c>
      <c r="K76" s="13" t="n">
        <v>0</v>
      </c>
      <c r="L76" s="13" t="n">
        <v>0</v>
      </c>
      <c r="M76" s="15" t="n">
        <v>0.007</v>
      </c>
      <c r="N76" s="15" t="n">
        <v>0.029</v>
      </c>
      <c r="O76" s="13" t="n">
        <v>10.5</v>
      </c>
      <c r="P76" s="16" t="n">
        <f aca="false">IF(H76="operating",I76*Facilities!$Z$118,0)</f>
        <v>0</v>
      </c>
      <c r="Q76" s="16" t="n">
        <f aca="false">IF(H76="operating",P76,IF(OR(H76="under construction",H76="approved/planned",H76="proposed"),I76,0))</f>
        <v>72</v>
      </c>
      <c r="R76" s="16" t="n">
        <f aca="false">Q76</f>
        <v>72</v>
      </c>
      <c r="S76" s="17" t="n">
        <f aca="false">IF(H76="cancelled/withdrawn",0,IF(K76&gt;0,K76,IF(AND(H76="operating",I76&gt;0,I76&lt;=2),MAX(3,Q76*IF(J76=1,Assumptions!$B$6,Assumptions!$B$7)),Q76*IF(J76=1,Assumptions!$B$6,Assumptions!$B$7))))</f>
        <v>144</v>
      </c>
      <c r="T76" s="17" t="n">
        <f aca="false">S76*Assumptions!$B$8</f>
        <v>272.16</v>
      </c>
      <c r="U76" s="17" t="n">
        <f aca="false">R76*Assumptions!$B$2/1000000*Assumptions!$B$4</f>
        <v>2034</v>
      </c>
      <c r="V76" s="18" t="n">
        <f aca="false">R76*Assumptions!$B$2*Assumptions!$B$18*(Assumptions!$B$17+M76+N76)</f>
        <v>48653280</v>
      </c>
      <c r="W76" s="18" t="n">
        <f aca="false">Q76*Assumptions!$B$2*Assumptions!$B$10*Assumptions!$B$11*O76/100+Q76*Assumptions!$B$3*Assumptions!$B$12*Assumptions!$B$11*O76/100</f>
        <v>4880547</v>
      </c>
      <c r="X76" s="18" t="n">
        <f aca="false">S76*Assumptions!$B$9*Assumptions!$B$19</f>
        <v>360000</v>
      </c>
      <c r="Y76" s="18" t="n">
        <f aca="false">W76+X76</f>
        <v>5240547</v>
      </c>
      <c r="Z76" s="18" t="n">
        <f aca="false">S76*Assumptions!$B$9</f>
        <v>14400000</v>
      </c>
      <c r="AA76" s="17" t="n">
        <f aca="false">Q76*Assumptions!$B$13*Assumptions!$B$14*8760/1000</f>
        <v>614.952</v>
      </c>
      <c r="AB76" s="17" t="n">
        <f aca="false">Q76*Assumptions!$B$13*8760*1000*Assumptions!$B$15/1233481.8</f>
        <v>230.09986851853</v>
      </c>
    </row>
    <row r="77" customFormat="false" ht="15" hidden="false" customHeight="false" outlineLevel="0" collapsed="false">
      <c r="A77" s="2" t="s">
        <v>391</v>
      </c>
      <c r="B77" s="2" t="s">
        <v>392</v>
      </c>
      <c r="C77" s="2" t="s">
        <v>393</v>
      </c>
      <c r="D77" s="2" t="s">
        <v>155</v>
      </c>
      <c r="E77" s="2" t="s">
        <v>127</v>
      </c>
      <c r="F77" s="2" t="s">
        <v>394</v>
      </c>
      <c r="G77" s="13" t="n">
        <v>26</v>
      </c>
      <c r="H77" s="13" t="s">
        <v>364</v>
      </c>
      <c r="I77" s="14" t="n">
        <v>20</v>
      </c>
      <c r="J77" s="13" t="n">
        <v>0</v>
      </c>
      <c r="K77" s="13" t="n">
        <v>0</v>
      </c>
      <c r="L77" s="13" t="n">
        <v>0</v>
      </c>
      <c r="M77" s="15" t="n">
        <v>0.007</v>
      </c>
      <c r="N77" s="15" t="n">
        <v>0.028</v>
      </c>
      <c r="O77" s="13" t="n">
        <v>11</v>
      </c>
      <c r="P77" s="16" t="n">
        <f aca="false">IF(H77="operating",I77*Facilities!$Z$118,0)</f>
        <v>0</v>
      </c>
      <c r="Q77" s="16" t="n">
        <f aca="false">IF(H77="operating",P77,IF(OR(H77="under construction",H77="approved/planned",H77="proposed"),I77,0))</f>
        <v>20</v>
      </c>
      <c r="R77" s="16" t="n">
        <f aca="false">Q77</f>
        <v>20</v>
      </c>
      <c r="S77" s="17" t="n">
        <f aca="false">IF(H77="cancelled/withdrawn",0,IF(K77&gt;0,K77,IF(AND(H77="operating",I77&gt;0,I77&lt;=2),MAX(3,Q77*IF(J77=1,Assumptions!$B$6,Assumptions!$B$7)),Q77*IF(J77=1,Assumptions!$B$6,Assumptions!$B$7))))</f>
        <v>40</v>
      </c>
      <c r="T77" s="17" t="n">
        <f aca="false">S77*Assumptions!$B$8</f>
        <v>75.6</v>
      </c>
      <c r="U77" s="17" t="n">
        <f aca="false">R77*Assumptions!$B$2/1000000*Assumptions!$B$4</f>
        <v>565</v>
      </c>
      <c r="V77" s="18" t="n">
        <f aca="false">R77*Assumptions!$B$2*Assumptions!$B$18*(Assumptions!$B$17+M77+N77)</f>
        <v>13367900</v>
      </c>
      <c r="W77" s="18" t="n">
        <f aca="false">Q77*Assumptions!$B$2*Assumptions!$B$10*Assumptions!$B$11*O77/100+Q77*Assumptions!$B$3*Assumptions!$B$12*Assumptions!$B$11*O77/100</f>
        <v>1420265</v>
      </c>
      <c r="X77" s="18" t="n">
        <f aca="false">S77*Assumptions!$B$9*Assumptions!$B$19</f>
        <v>100000</v>
      </c>
      <c r="Y77" s="18" t="n">
        <f aca="false">W77+X77</f>
        <v>1520265</v>
      </c>
      <c r="Z77" s="18" t="n">
        <f aca="false">S77*Assumptions!$B$9</f>
        <v>4000000</v>
      </c>
      <c r="AA77" s="17" t="n">
        <f aca="false">Q77*Assumptions!$B$13*Assumptions!$B$14*8760/1000</f>
        <v>170.82</v>
      </c>
      <c r="AB77" s="17" t="n">
        <f aca="false">Q77*Assumptions!$B$13*8760*1000*Assumptions!$B$15/1233481.8</f>
        <v>63.9166301440362</v>
      </c>
    </row>
    <row r="78" customFormat="false" ht="15" hidden="false" customHeight="false" outlineLevel="0" collapsed="false">
      <c r="A78" s="2" t="s">
        <v>395</v>
      </c>
      <c r="B78" s="2" t="s">
        <v>396</v>
      </c>
      <c r="C78" s="2" t="s">
        <v>154</v>
      </c>
      <c r="D78" s="2" t="s">
        <v>397</v>
      </c>
      <c r="E78" s="2" t="s">
        <v>127</v>
      </c>
      <c r="F78" s="2" t="s">
        <v>398</v>
      </c>
      <c r="G78" s="13" t="n">
        <v>22</v>
      </c>
      <c r="H78" s="13" t="s">
        <v>364</v>
      </c>
      <c r="I78" s="14" t="n">
        <v>0</v>
      </c>
      <c r="J78" s="13" t="n">
        <v>0</v>
      </c>
      <c r="K78" s="13" t="n">
        <v>0</v>
      </c>
      <c r="L78" s="13" t="n">
        <v>0</v>
      </c>
      <c r="M78" s="15" t="n">
        <v>0.007</v>
      </c>
      <c r="N78" s="15" t="n">
        <v>0.025</v>
      </c>
      <c r="O78" s="13" t="n">
        <v>13</v>
      </c>
      <c r="P78" s="16" t="n">
        <f aca="false">IF(H78="operating",I78*Facilities!$Z$118,0)</f>
        <v>0</v>
      </c>
      <c r="Q78" s="16" t="n">
        <f aca="false">IF(H78="operating",P78,IF(OR(H78="under construction",H78="approved/planned",H78="proposed"),I78,0))</f>
        <v>0</v>
      </c>
      <c r="R78" s="16" t="n">
        <f aca="false">Q78</f>
        <v>0</v>
      </c>
      <c r="S78" s="17" t="n">
        <f aca="false">IF(H78="cancelled/withdrawn",0,IF(K78&gt;0,K78,IF(AND(H78="operating",I78&gt;0,I78&lt;=2),MAX(3,Q78*IF(J78=1,Assumptions!$B$6,Assumptions!$B$7)),Q78*IF(J78=1,Assumptions!$B$6,Assumptions!$B$7))))</f>
        <v>0</v>
      </c>
      <c r="T78" s="17" t="n">
        <f aca="false">S78*Assumptions!$B$8</f>
        <v>0</v>
      </c>
      <c r="U78" s="17" t="n">
        <f aca="false">R78*Assumptions!$B$2/1000000*Assumptions!$B$4</f>
        <v>0</v>
      </c>
      <c r="V78" s="18" t="n">
        <f aca="false">R78*Assumptions!$B$2*Assumptions!$B$18*(Assumptions!$B$17+M78+N78)</f>
        <v>0</v>
      </c>
      <c r="W78" s="18" t="n">
        <f aca="false">Q78*Assumptions!$B$2*Assumptions!$B$10*Assumptions!$B$11*O78/100+Q78*Assumptions!$B$3*Assumptions!$B$12*Assumptions!$B$11*O78/100</f>
        <v>0</v>
      </c>
      <c r="X78" s="18" t="n">
        <f aca="false">S78*Assumptions!$B$9*Assumptions!$B$19</f>
        <v>0</v>
      </c>
      <c r="Y78" s="18" t="n">
        <f aca="false">W78+X78</f>
        <v>0</v>
      </c>
      <c r="Z78" s="18" t="n">
        <f aca="false">S78*Assumptions!$B$9</f>
        <v>0</v>
      </c>
      <c r="AA78" s="17" t="n">
        <f aca="false">Q78*Assumptions!$B$13*Assumptions!$B$14*8760/1000</f>
        <v>0</v>
      </c>
      <c r="AB78" s="17" t="n">
        <f aca="false">Q78*Assumptions!$B$13*8760*1000*Assumptions!$B$15/1233481.8</f>
        <v>0</v>
      </c>
    </row>
    <row r="79" customFormat="false" ht="15" hidden="false" customHeight="false" outlineLevel="0" collapsed="false">
      <c r="A79" s="2" t="s">
        <v>399</v>
      </c>
      <c r="B79" s="2" t="s">
        <v>400</v>
      </c>
      <c r="C79" s="2" t="s">
        <v>401</v>
      </c>
      <c r="D79" s="2" t="s">
        <v>402</v>
      </c>
      <c r="E79" s="2" t="s">
        <v>127</v>
      </c>
      <c r="F79" s="2" t="s">
        <v>403</v>
      </c>
      <c r="G79" s="13" t="n">
        <v>25</v>
      </c>
      <c r="H79" s="13" t="s">
        <v>404</v>
      </c>
      <c r="I79" s="14" t="n">
        <v>1800</v>
      </c>
      <c r="J79" s="13" t="n">
        <v>1</v>
      </c>
      <c r="K79" s="13" t="n">
        <v>0</v>
      </c>
      <c r="L79" s="13" t="n">
        <v>0</v>
      </c>
      <c r="M79" s="15" t="n">
        <v>0.007</v>
      </c>
      <c r="N79" s="15" t="n">
        <v>0.03</v>
      </c>
      <c r="O79" s="13" t="n">
        <v>11.66</v>
      </c>
      <c r="P79" s="16" t="n">
        <f aca="false">IF(H79="operating",I79*Facilities!$Z$118,0)</f>
        <v>0</v>
      </c>
      <c r="Q79" s="16" t="n">
        <f aca="false">IF(H79="operating",P79,IF(OR(H79="under construction",H79="approved/planned",H79="proposed"),I79,0))</f>
        <v>1800</v>
      </c>
      <c r="R79" s="16" t="n">
        <f aca="false">Q79</f>
        <v>1800</v>
      </c>
      <c r="S79" s="17" t="n">
        <f aca="false">IF(H79="cancelled/withdrawn",0,IF(K79&gt;0,K79,IF(AND(H79="operating",I79&gt;0,I79&lt;=2),MAX(3,Q79*IF(J79=1,Assumptions!$B$6,Assumptions!$B$7)),Q79*IF(J79=1,Assumptions!$B$6,Assumptions!$B$7))))</f>
        <v>1080</v>
      </c>
      <c r="T79" s="17" t="n">
        <f aca="false">S79*Assumptions!$B$8</f>
        <v>2041.2</v>
      </c>
      <c r="U79" s="17" t="n">
        <f aca="false">R79*Assumptions!$B$2/1000000*Assumptions!$B$4</f>
        <v>50850</v>
      </c>
      <c r="V79" s="18" t="n">
        <f aca="false">R79*Assumptions!$B$2*Assumptions!$B$18*(Assumptions!$B$17+M79+N79)</f>
        <v>1229553000</v>
      </c>
      <c r="W79" s="18" t="n">
        <f aca="false">Q79*Assumptions!$B$2*Assumptions!$B$10*Assumptions!$B$11*O79/100+Q79*Assumptions!$B$3*Assumptions!$B$12*Assumptions!$B$11*O79/100</f>
        <v>135493281</v>
      </c>
      <c r="X79" s="18" t="n">
        <f aca="false">S79*Assumptions!$B$9*Assumptions!$B$19</f>
        <v>2700000</v>
      </c>
      <c r="Y79" s="18" t="n">
        <f aca="false">W79+X79</f>
        <v>138193281</v>
      </c>
      <c r="Z79" s="18" t="n">
        <f aca="false">S79*Assumptions!$B$9</f>
        <v>108000000</v>
      </c>
      <c r="AA79" s="17" t="n">
        <f aca="false">Q79*Assumptions!$B$13*Assumptions!$B$14*8760/1000</f>
        <v>15373.8</v>
      </c>
      <c r="AB79" s="17" t="n">
        <f aca="false">Q79*Assumptions!$B$13*8760*1000*Assumptions!$B$15/1233481.8</f>
        <v>5752.49671296326</v>
      </c>
    </row>
    <row r="80" customFormat="false" ht="15" hidden="false" customHeight="false" outlineLevel="0" collapsed="false">
      <c r="A80" s="2" t="s">
        <v>405</v>
      </c>
      <c r="B80" s="2" t="s">
        <v>406</v>
      </c>
      <c r="C80" s="2" t="s">
        <v>407</v>
      </c>
      <c r="D80" s="2" t="s">
        <v>408</v>
      </c>
      <c r="E80" s="2" t="s">
        <v>127</v>
      </c>
      <c r="F80" s="2" t="s">
        <v>409</v>
      </c>
      <c r="G80" s="13" t="n">
        <v>25</v>
      </c>
      <c r="H80" s="13" t="s">
        <v>404</v>
      </c>
      <c r="I80" s="14" t="n">
        <v>1500</v>
      </c>
      <c r="J80" s="13" t="n">
        <v>1</v>
      </c>
      <c r="K80" s="13" t="n">
        <v>0</v>
      </c>
      <c r="L80" s="13" t="n">
        <v>0</v>
      </c>
      <c r="M80" s="15" t="n">
        <v>0.007</v>
      </c>
      <c r="N80" s="15" t="n">
        <v>0</v>
      </c>
      <c r="O80" s="13" t="n">
        <v>10.5</v>
      </c>
      <c r="P80" s="16" t="n">
        <f aca="false">IF(H80="operating",I80*Facilities!$Z$118,0)</f>
        <v>0</v>
      </c>
      <c r="Q80" s="16" t="n">
        <f aca="false">IF(H80="operating",P80,IF(OR(H80="under construction",H80="approved/planned",H80="proposed"),I80,0))</f>
        <v>1500</v>
      </c>
      <c r="R80" s="16" t="n">
        <f aca="false">Q80</f>
        <v>1500</v>
      </c>
      <c r="S80" s="17" t="n">
        <f aca="false">IF(H80="cancelled/withdrawn",0,IF(K80&gt;0,K80,IF(AND(H80="operating",I80&gt;0,I80&lt;=2),MAX(3,Q80*IF(J80=1,Assumptions!$B$6,Assumptions!$B$7)),Q80*IF(J80=1,Assumptions!$B$6,Assumptions!$B$7))))</f>
        <v>900</v>
      </c>
      <c r="T80" s="17" t="n">
        <f aca="false">S80*Assumptions!$B$8</f>
        <v>1701</v>
      </c>
      <c r="U80" s="17" t="n">
        <f aca="false">R80*Assumptions!$B$2/1000000*Assumptions!$B$4</f>
        <v>42375</v>
      </c>
      <c r="V80" s="18" t="n">
        <f aca="false">R80*Assumptions!$B$2*Assumptions!$B$18*(Assumptions!$B$17+M80+N80)</f>
        <v>694102500</v>
      </c>
      <c r="W80" s="18" t="n">
        <f aca="false">Q80*Assumptions!$B$2*Assumptions!$B$10*Assumptions!$B$11*O80/100+Q80*Assumptions!$B$3*Assumptions!$B$12*Assumptions!$B$11*O80/100</f>
        <v>101678062.5</v>
      </c>
      <c r="X80" s="18" t="n">
        <f aca="false">S80*Assumptions!$B$9*Assumptions!$B$19</f>
        <v>2250000</v>
      </c>
      <c r="Y80" s="18" t="n">
        <f aca="false">W80+X80</f>
        <v>103928062.5</v>
      </c>
      <c r="Z80" s="18" t="n">
        <f aca="false">S80*Assumptions!$B$9</f>
        <v>90000000</v>
      </c>
      <c r="AA80" s="17" t="n">
        <f aca="false">Q80*Assumptions!$B$13*Assumptions!$B$14*8760/1000</f>
        <v>12811.5</v>
      </c>
      <c r="AB80" s="17" t="n">
        <f aca="false">Q80*Assumptions!$B$13*8760*1000*Assumptions!$B$15/1233481.8</f>
        <v>4793.74726080271</v>
      </c>
    </row>
    <row r="81" customFormat="false" ht="15" hidden="false" customHeight="false" outlineLevel="0" collapsed="false">
      <c r="A81" s="2" t="s">
        <v>410</v>
      </c>
      <c r="B81" s="2" t="s">
        <v>411</v>
      </c>
      <c r="C81" s="2" t="s">
        <v>412</v>
      </c>
      <c r="D81" s="2" t="s">
        <v>389</v>
      </c>
      <c r="E81" s="2" t="s">
        <v>127</v>
      </c>
      <c r="F81" s="2" t="s">
        <v>413</v>
      </c>
      <c r="G81" s="13" t="n">
        <v>29</v>
      </c>
      <c r="H81" s="13" t="s">
        <v>404</v>
      </c>
      <c r="I81" s="14" t="n">
        <v>750</v>
      </c>
      <c r="J81" s="13" t="n">
        <v>1</v>
      </c>
      <c r="K81" s="13" t="n">
        <v>0</v>
      </c>
      <c r="L81" s="13" t="n">
        <v>0</v>
      </c>
      <c r="M81" s="15" t="n">
        <v>0.007</v>
      </c>
      <c r="N81" s="15" t="n">
        <v>0.029</v>
      </c>
      <c r="O81" s="13" t="n">
        <v>10.5</v>
      </c>
      <c r="P81" s="16" t="n">
        <f aca="false">IF(H81="operating",I81*Facilities!$Z$118,0)</f>
        <v>0</v>
      </c>
      <c r="Q81" s="16" t="n">
        <f aca="false">IF(H81="operating",P81,IF(OR(H81="under construction",H81="approved/planned",H81="proposed"),I81,0))</f>
        <v>750</v>
      </c>
      <c r="R81" s="16" t="n">
        <f aca="false">Q81</f>
        <v>750</v>
      </c>
      <c r="S81" s="17" t="n">
        <f aca="false">IF(H81="cancelled/withdrawn",0,IF(K81&gt;0,K81,IF(AND(H81="operating",I81&gt;0,I81&lt;=2),MAX(3,Q81*IF(J81=1,Assumptions!$B$6,Assumptions!$B$7)),Q81*IF(J81=1,Assumptions!$B$6,Assumptions!$B$7))))</f>
        <v>450</v>
      </c>
      <c r="T81" s="17" t="n">
        <f aca="false">S81*Assumptions!$B$8</f>
        <v>850.5</v>
      </c>
      <c r="U81" s="17" t="n">
        <f aca="false">R81*Assumptions!$B$2/1000000*Assumptions!$B$4</f>
        <v>21187.5</v>
      </c>
      <c r="V81" s="18" t="n">
        <f aca="false">R81*Assumptions!$B$2*Assumptions!$B$18*(Assumptions!$B$17+M81+N81)</f>
        <v>506805000</v>
      </c>
      <c r="W81" s="18" t="n">
        <f aca="false">Q81*Assumptions!$B$2*Assumptions!$B$10*Assumptions!$B$11*O81/100+Q81*Assumptions!$B$3*Assumptions!$B$12*Assumptions!$B$11*O81/100</f>
        <v>50839031.25</v>
      </c>
      <c r="X81" s="18" t="n">
        <f aca="false">S81*Assumptions!$B$9*Assumptions!$B$19</f>
        <v>1125000</v>
      </c>
      <c r="Y81" s="18" t="n">
        <f aca="false">W81+X81</f>
        <v>51964031.25</v>
      </c>
      <c r="Z81" s="18" t="n">
        <f aca="false">S81*Assumptions!$B$9</f>
        <v>45000000</v>
      </c>
      <c r="AA81" s="17" t="n">
        <f aca="false">Q81*Assumptions!$B$13*Assumptions!$B$14*8760/1000</f>
        <v>6405.75</v>
      </c>
      <c r="AB81" s="17" t="n">
        <f aca="false">Q81*Assumptions!$B$13*8760*1000*Assumptions!$B$15/1233481.8</f>
        <v>2396.87363040136</v>
      </c>
    </row>
    <row r="82" customFormat="false" ht="15" hidden="false" customHeight="false" outlineLevel="0" collapsed="false">
      <c r="A82" s="2" t="s">
        <v>414</v>
      </c>
      <c r="B82" s="2" t="s">
        <v>415</v>
      </c>
      <c r="C82" s="2" t="s">
        <v>125</v>
      </c>
      <c r="D82" s="2" t="s">
        <v>416</v>
      </c>
      <c r="E82" s="2" t="s">
        <v>417</v>
      </c>
      <c r="F82" s="2" t="s">
        <v>418</v>
      </c>
      <c r="G82" s="13" t="n">
        <v>7</v>
      </c>
      <c r="H82" s="13" t="s">
        <v>404</v>
      </c>
      <c r="I82" s="14" t="n">
        <v>720</v>
      </c>
      <c r="J82" s="13" t="n">
        <v>1</v>
      </c>
      <c r="K82" s="13" t="n">
        <v>0</v>
      </c>
      <c r="L82" s="13" t="n">
        <v>0</v>
      </c>
      <c r="M82" s="15" t="n">
        <v>0.011</v>
      </c>
      <c r="N82" s="15" t="n">
        <v>0.02</v>
      </c>
      <c r="O82" s="13" t="n">
        <v>10.5</v>
      </c>
      <c r="P82" s="16" t="n">
        <f aca="false">IF(H82="operating",I82*Facilities!$Z$118,0)</f>
        <v>0</v>
      </c>
      <c r="Q82" s="16" t="n">
        <f aca="false">IF(H82="operating",P82,IF(OR(H82="under construction",H82="approved/planned",H82="proposed"),I82,0))</f>
        <v>720</v>
      </c>
      <c r="R82" s="16" t="n">
        <f aca="false">Q82</f>
        <v>720</v>
      </c>
      <c r="S82" s="17" t="n">
        <f aca="false">IF(H82="cancelled/withdrawn",0,IF(K82&gt;0,K82,IF(AND(H82="operating",I82&gt;0,I82&lt;=2),MAX(3,Q82*IF(J82=1,Assumptions!$B$6,Assumptions!$B$7)),Q82*IF(J82=1,Assumptions!$B$6,Assumptions!$B$7))))</f>
        <v>432</v>
      </c>
      <c r="T82" s="17" t="n">
        <f aca="false">S82*Assumptions!$B$8</f>
        <v>816.48</v>
      </c>
      <c r="U82" s="17" t="n">
        <f aca="false">R82*Assumptions!$B$2/1000000*Assumptions!$B$4</f>
        <v>20340</v>
      </c>
      <c r="V82" s="18" t="n">
        <f aca="false">R82*Assumptions!$B$2*Assumptions!$B$18*(Assumptions!$B$17+M82+N82)</f>
        <v>460090800</v>
      </c>
      <c r="W82" s="18" t="n">
        <f aca="false">Q82*Assumptions!$B$2*Assumptions!$B$10*Assumptions!$B$11*O82/100+Q82*Assumptions!$B$3*Assumptions!$B$12*Assumptions!$B$11*O82/100</f>
        <v>48805470</v>
      </c>
      <c r="X82" s="18" t="n">
        <f aca="false">S82*Assumptions!$B$9*Assumptions!$B$19</f>
        <v>1080000</v>
      </c>
      <c r="Y82" s="18" t="n">
        <f aca="false">W82+X82</f>
        <v>49885470</v>
      </c>
      <c r="Z82" s="18" t="n">
        <f aca="false">S82*Assumptions!$B$9</f>
        <v>43200000</v>
      </c>
      <c r="AA82" s="17" t="n">
        <f aca="false">Q82*Assumptions!$B$13*Assumptions!$B$14*8760/1000</f>
        <v>6149.52</v>
      </c>
      <c r="AB82" s="17" t="n">
        <f aca="false">Q82*Assumptions!$B$13*8760*1000*Assumptions!$B$15/1233481.8</f>
        <v>2300.9986851853</v>
      </c>
    </row>
    <row r="83" customFormat="false" ht="15" hidden="false" customHeight="false" outlineLevel="0" collapsed="false">
      <c r="A83" s="2" t="s">
        <v>419</v>
      </c>
      <c r="B83" s="2" t="s">
        <v>420</v>
      </c>
      <c r="C83" s="2" t="s">
        <v>132</v>
      </c>
      <c r="D83" s="2" t="s">
        <v>233</v>
      </c>
      <c r="E83" s="2" t="s">
        <v>127</v>
      </c>
      <c r="F83" s="2" t="s">
        <v>421</v>
      </c>
      <c r="G83" s="13" t="n">
        <v>29</v>
      </c>
      <c r="H83" s="13" t="s">
        <v>404</v>
      </c>
      <c r="I83" s="14" t="n">
        <v>108</v>
      </c>
      <c r="J83" s="13" t="n">
        <v>0</v>
      </c>
      <c r="K83" s="13" t="n">
        <v>0</v>
      </c>
      <c r="L83" s="13" t="n">
        <v>0</v>
      </c>
      <c r="M83" s="15" t="n">
        <v>0.007</v>
      </c>
      <c r="N83" s="15" t="n">
        <v>0.03</v>
      </c>
      <c r="O83" s="13" t="n">
        <v>10.09</v>
      </c>
      <c r="P83" s="16" t="n">
        <f aca="false">IF(H83="operating",I83*Facilities!$Z$118,0)</f>
        <v>0</v>
      </c>
      <c r="Q83" s="16" t="n">
        <f aca="false">IF(H83="operating",P83,IF(OR(H83="under construction",H83="approved/planned",H83="proposed"),I83,0))</f>
        <v>108</v>
      </c>
      <c r="R83" s="16" t="n">
        <f aca="false">Q83</f>
        <v>108</v>
      </c>
      <c r="S83" s="17" t="n">
        <f aca="false">IF(H83="cancelled/withdrawn",0,IF(K83&gt;0,K83,IF(AND(H83="operating",I83&gt;0,I83&lt;=2),MAX(3,Q83*IF(J83=1,Assumptions!$B$6,Assumptions!$B$7)),Q83*IF(J83=1,Assumptions!$B$6,Assumptions!$B$7))))</f>
        <v>216</v>
      </c>
      <c r="T83" s="17" t="n">
        <f aca="false">S83*Assumptions!$B$8</f>
        <v>408.24</v>
      </c>
      <c r="U83" s="17" t="n">
        <f aca="false">R83*Assumptions!$B$2/1000000*Assumptions!$B$4</f>
        <v>3051</v>
      </c>
      <c r="V83" s="18" t="n">
        <f aca="false">R83*Assumptions!$B$2*Assumptions!$B$18*(Assumptions!$B$17+M83+N83)</f>
        <v>73773180</v>
      </c>
      <c r="W83" s="18" t="n">
        <f aca="false">Q83*Assumptions!$B$2*Assumptions!$B$10*Assumptions!$B$11*O83/100+Q83*Assumptions!$B$3*Assumptions!$B$12*Assumptions!$B$11*O83/100</f>
        <v>7034959.89</v>
      </c>
      <c r="X83" s="18" t="n">
        <f aca="false">S83*Assumptions!$B$9*Assumptions!$B$19</f>
        <v>540000</v>
      </c>
      <c r="Y83" s="18" t="n">
        <f aca="false">W83+X83</f>
        <v>7574959.89</v>
      </c>
      <c r="Z83" s="18" t="n">
        <f aca="false">S83*Assumptions!$B$9</f>
        <v>21600000</v>
      </c>
      <c r="AA83" s="17" t="n">
        <f aca="false">Q83*Assumptions!$B$13*Assumptions!$B$14*8760/1000</f>
        <v>922.428</v>
      </c>
      <c r="AB83" s="17" t="n">
        <f aca="false">Q83*Assumptions!$B$13*8760*1000*Assumptions!$B$15/1233481.8</f>
        <v>345.149802777795</v>
      </c>
    </row>
    <row r="84" customFormat="false" ht="15" hidden="false" customHeight="false" outlineLevel="0" collapsed="false">
      <c r="A84" s="2" t="s">
        <v>422</v>
      </c>
      <c r="B84" s="2" t="s">
        <v>423</v>
      </c>
      <c r="C84" s="2" t="s">
        <v>237</v>
      </c>
      <c r="D84" s="2" t="s">
        <v>155</v>
      </c>
      <c r="E84" s="2" t="s">
        <v>127</v>
      </c>
      <c r="F84" s="2" t="s">
        <v>424</v>
      </c>
      <c r="G84" s="13" t="n">
        <v>11</v>
      </c>
      <c r="H84" s="13" t="s">
        <v>404</v>
      </c>
      <c r="I84" s="14" t="n">
        <v>50</v>
      </c>
      <c r="J84" s="13" t="n">
        <v>0</v>
      </c>
      <c r="K84" s="13" t="n">
        <v>0</v>
      </c>
      <c r="L84" s="13" t="n">
        <v>0</v>
      </c>
      <c r="M84" s="15" t="n">
        <v>0.007</v>
      </c>
      <c r="N84" s="15" t="n">
        <v>0.028</v>
      </c>
      <c r="O84" s="13" t="n">
        <v>11</v>
      </c>
      <c r="P84" s="16" t="n">
        <f aca="false">IF(H84="operating",I84*Facilities!$Z$118,0)</f>
        <v>0</v>
      </c>
      <c r="Q84" s="16" t="n">
        <f aca="false">IF(H84="operating",P84,IF(OR(H84="under construction",H84="approved/planned",H84="proposed"),I84,0))</f>
        <v>50</v>
      </c>
      <c r="R84" s="16" t="n">
        <f aca="false">Q84</f>
        <v>50</v>
      </c>
      <c r="S84" s="17" t="n">
        <f aca="false">IF(H84="cancelled/withdrawn",0,IF(K84&gt;0,K84,IF(AND(H84="operating",I84&gt;0,I84&lt;=2),MAX(3,Q84*IF(J84=1,Assumptions!$B$6,Assumptions!$B$7)),Q84*IF(J84=1,Assumptions!$B$6,Assumptions!$B$7))))</f>
        <v>100</v>
      </c>
      <c r="T84" s="17" t="n">
        <f aca="false">S84*Assumptions!$B$8</f>
        <v>189</v>
      </c>
      <c r="U84" s="17" t="n">
        <f aca="false">R84*Assumptions!$B$2/1000000*Assumptions!$B$4</f>
        <v>1412.5</v>
      </c>
      <c r="V84" s="18" t="n">
        <f aca="false">R84*Assumptions!$B$2*Assumptions!$B$18*(Assumptions!$B$17+M84+N84)</f>
        <v>33419750</v>
      </c>
      <c r="W84" s="18" t="n">
        <f aca="false">Q84*Assumptions!$B$2*Assumptions!$B$10*Assumptions!$B$11*O84/100+Q84*Assumptions!$B$3*Assumptions!$B$12*Assumptions!$B$11*O84/100</f>
        <v>3550662.5</v>
      </c>
      <c r="X84" s="18" t="n">
        <f aca="false">S84*Assumptions!$B$9*Assumptions!$B$19</f>
        <v>250000</v>
      </c>
      <c r="Y84" s="18" t="n">
        <f aca="false">W84+X84</f>
        <v>3800662.5</v>
      </c>
      <c r="Z84" s="18" t="n">
        <f aca="false">S84*Assumptions!$B$9</f>
        <v>10000000</v>
      </c>
      <c r="AA84" s="17" t="n">
        <f aca="false">Q84*Assumptions!$B$13*Assumptions!$B$14*8760/1000</f>
        <v>427.05</v>
      </c>
      <c r="AB84" s="17" t="n">
        <f aca="false">Q84*Assumptions!$B$13*8760*1000*Assumptions!$B$15/1233481.8</f>
        <v>159.79157536009</v>
      </c>
    </row>
    <row r="85" customFormat="false" ht="15" hidden="false" customHeight="false" outlineLevel="0" collapsed="false">
      <c r="A85" s="2" t="s">
        <v>425</v>
      </c>
      <c r="B85" s="2" t="s">
        <v>426</v>
      </c>
      <c r="C85" s="2" t="s">
        <v>163</v>
      </c>
      <c r="D85" s="2" t="s">
        <v>389</v>
      </c>
      <c r="E85" s="2" t="s">
        <v>127</v>
      </c>
      <c r="F85" s="2" t="s">
        <v>398</v>
      </c>
      <c r="G85" s="13" t="n">
        <v>29</v>
      </c>
      <c r="H85" s="13" t="s">
        <v>404</v>
      </c>
      <c r="I85" s="14" t="n">
        <v>0</v>
      </c>
      <c r="J85" s="13" t="n">
        <v>0</v>
      </c>
      <c r="K85" s="13" t="n">
        <v>0</v>
      </c>
      <c r="L85" s="13" t="n">
        <v>0</v>
      </c>
      <c r="M85" s="15" t="n">
        <v>0.007</v>
      </c>
      <c r="N85" s="15" t="n">
        <v>0.029</v>
      </c>
      <c r="O85" s="13" t="n">
        <v>10.5</v>
      </c>
      <c r="P85" s="16" t="n">
        <f aca="false">IF(H85="operating",I85*Facilities!$Z$118,0)</f>
        <v>0</v>
      </c>
      <c r="Q85" s="16" t="n">
        <f aca="false">IF(H85="operating",P85,IF(OR(H85="under construction",H85="approved/planned",H85="proposed"),I85,0))</f>
        <v>0</v>
      </c>
      <c r="R85" s="16" t="n">
        <f aca="false">Q85</f>
        <v>0</v>
      </c>
      <c r="S85" s="17" t="n">
        <f aca="false">IF(H85="cancelled/withdrawn",0,IF(K85&gt;0,K85,IF(AND(H85="operating",I85&gt;0,I85&lt;=2),MAX(3,Q85*IF(J85=1,Assumptions!$B$6,Assumptions!$B$7)),Q85*IF(J85=1,Assumptions!$B$6,Assumptions!$B$7))))</f>
        <v>0</v>
      </c>
      <c r="T85" s="17" t="n">
        <f aca="false">S85*Assumptions!$B$8</f>
        <v>0</v>
      </c>
      <c r="U85" s="17" t="n">
        <f aca="false">R85*Assumptions!$B$2/1000000*Assumptions!$B$4</f>
        <v>0</v>
      </c>
      <c r="V85" s="18" t="n">
        <f aca="false">R85*Assumptions!$B$2*Assumptions!$B$18*(Assumptions!$B$17+M85+N85)</f>
        <v>0</v>
      </c>
      <c r="W85" s="18" t="n">
        <f aca="false">Q85*Assumptions!$B$2*Assumptions!$B$10*Assumptions!$B$11*O85/100+Q85*Assumptions!$B$3*Assumptions!$B$12*Assumptions!$B$11*O85/100</f>
        <v>0</v>
      </c>
      <c r="X85" s="18" t="n">
        <f aca="false">S85*Assumptions!$B$9*Assumptions!$B$19</f>
        <v>0</v>
      </c>
      <c r="Y85" s="18" t="n">
        <f aca="false">W85+X85</f>
        <v>0</v>
      </c>
      <c r="Z85" s="18" t="n">
        <f aca="false">S85*Assumptions!$B$9</f>
        <v>0</v>
      </c>
      <c r="AA85" s="17" t="n">
        <f aca="false">Q85*Assumptions!$B$13*Assumptions!$B$14*8760/1000</f>
        <v>0</v>
      </c>
      <c r="AB85" s="17" t="n">
        <f aca="false">Q85*Assumptions!$B$13*8760*1000*Assumptions!$B$15/1233481.8</f>
        <v>0</v>
      </c>
    </row>
    <row r="86" customFormat="false" ht="15" hidden="false" customHeight="false" outlineLevel="0" collapsed="false">
      <c r="A86" s="2" t="s">
        <v>427</v>
      </c>
      <c r="B86" s="2" t="s">
        <v>428</v>
      </c>
      <c r="C86" s="2" t="s">
        <v>407</v>
      </c>
      <c r="D86" s="2" t="s">
        <v>408</v>
      </c>
      <c r="E86" s="2" t="s">
        <v>127</v>
      </c>
      <c r="F86" s="2" t="s">
        <v>398</v>
      </c>
      <c r="G86" s="13" t="n">
        <v>25</v>
      </c>
      <c r="H86" s="13" t="s">
        <v>404</v>
      </c>
      <c r="I86" s="14" t="n">
        <v>0</v>
      </c>
      <c r="J86" s="13" t="n">
        <v>0</v>
      </c>
      <c r="K86" s="13" t="n">
        <v>0</v>
      </c>
      <c r="L86" s="13" t="n">
        <v>0</v>
      </c>
      <c r="M86" s="15" t="n">
        <v>0.007</v>
      </c>
      <c r="N86" s="15" t="n">
        <v>0</v>
      </c>
      <c r="O86" s="13" t="n">
        <v>10.5</v>
      </c>
      <c r="P86" s="16" t="n">
        <f aca="false">IF(H86="operating",I86*Facilities!$Z$118,0)</f>
        <v>0</v>
      </c>
      <c r="Q86" s="16" t="n">
        <f aca="false">IF(H86="operating",P86,IF(OR(H86="under construction",H86="approved/planned",H86="proposed"),I86,0))</f>
        <v>0</v>
      </c>
      <c r="R86" s="16" t="n">
        <f aca="false">Q86</f>
        <v>0</v>
      </c>
      <c r="S86" s="17" t="n">
        <f aca="false">IF(H86="cancelled/withdrawn",0,IF(K86&gt;0,K86,IF(AND(H86="operating",I86&gt;0,I86&lt;=2),MAX(3,Q86*IF(J86=1,Assumptions!$B$6,Assumptions!$B$7)),Q86*IF(J86=1,Assumptions!$B$6,Assumptions!$B$7))))</f>
        <v>0</v>
      </c>
      <c r="T86" s="17" t="n">
        <f aca="false">S86*Assumptions!$B$8</f>
        <v>0</v>
      </c>
      <c r="U86" s="17" t="n">
        <f aca="false">R86*Assumptions!$B$2/1000000*Assumptions!$B$4</f>
        <v>0</v>
      </c>
      <c r="V86" s="18" t="n">
        <f aca="false">R86*Assumptions!$B$2*Assumptions!$B$18*(Assumptions!$B$17+M86+N86)</f>
        <v>0</v>
      </c>
      <c r="W86" s="18" t="n">
        <f aca="false">Q86*Assumptions!$B$2*Assumptions!$B$10*Assumptions!$B$11*O86/100+Q86*Assumptions!$B$3*Assumptions!$B$12*Assumptions!$B$11*O86/100</f>
        <v>0</v>
      </c>
      <c r="X86" s="18" t="n">
        <f aca="false">S86*Assumptions!$B$9*Assumptions!$B$19</f>
        <v>0</v>
      </c>
      <c r="Y86" s="18" t="n">
        <f aca="false">W86+X86</f>
        <v>0</v>
      </c>
      <c r="Z86" s="18" t="n">
        <f aca="false">S86*Assumptions!$B$9</f>
        <v>0</v>
      </c>
      <c r="AA86" s="17" t="n">
        <f aca="false">Q86*Assumptions!$B$13*Assumptions!$B$14*8760/1000</f>
        <v>0</v>
      </c>
      <c r="AB86" s="17" t="n">
        <f aca="false">Q86*Assumptions!$B$13*8760*1000*Assumptions!$B$15/1233481.8</f>
        <v>0</v>
      </c>
    </row>
    <row r="87" customFormat="false" ht="15" hidden="false" customHeight="false" outlineLevel="0" collapsed="false">
      <c r="A87" s="2" t="s">
        <v>429</v>
      </c>
      <c r="B87" s="2" t="s">
        <v>430</v>
      </c>
      <c r="C87" s="2" t="s">
        <v>431</v>
      </c>
      <c r="D87" s="2" t="s">
        <v>408</v>
      </c>
      <c r="E87" s="2" t="s">
        <v>127</v>
      </c>
      <c r="F87" s="2" t="s">
        <v>398</v>
      </c>
      <c r="G87" s="13" t="n">
        <v>25</v>
      </c>
      <c r="H87" s="13" t="s">
        <v>404</v>
      </c>
      <c r="I87" s="14" t="n">
        <v>0</v>
      </c>
      <c r="J87" s="13" t="n">
        <v>0</v>
      </c>
      <c r="K87" s="13" t="n">
        <v>0</v>
      </c>
      <c r="L87" s="13" t="n">
        <v>0</v>
      </c>
      <c r="M87" s="15" t="n">
        <v>0.007</v>
      </c>
      <c r="N87" s="15" t="n">
        <v>0</v>
      </c>
      <c r="O87" s="13" t="n">
        <v>10.5</v>
      </c>
      <c r="P87" s="16" t="n">
        <f aca="false">IF(H87="operating",I87*Facilities!$Z$118,0)</f>
        <v>0</v>
      </c>
      <c r="Q87" s="16" t="n">
        <f aca="false">IF(H87="operating",P87,IF(OR(H87="under construction",H87="approved/planned",H87="proposed"),I87,0))</f>
        <v>0</v>
      </c>
      <c r="R87" s="16" t="n">
        <f aca="false">Q87</f>
        <v>0</v>
      </c>
      <c r="S87" s="17" t="n">
        <f aca="false">IF(H87="cancelled/withdrawn",0,IF(K87&gt;0,K87,IF(AND(H87="operating",I87&gt;0,I87&lt;=2),MAX(3,Q87*IF(J87=1,Assumptions!$B$6,Assumptions!$B$7)),Q87*IF(J87=1,Assumptions!$B$6,Assumptions!$B$7))))</f>
        <v>0</v>
      </c>
      <c r="T87" s="17" t="n">
        <f aca="false">S87*Assumptions!$B$8</f>
        <v>0</v>
      </c>
      <c r="U87" s="17" t="n">
        <f aca="false">R87*Assumptions!$B$2/1000000*Assumptions!$B$4</f>
        <v>0</v>
      </c>
      <c r="V87" s="18" t="n">
        <f aca="false">R87*Assumptions!$B$2*Assumptions!$B$18*(Assumptions!$B$17+M87+N87)</f>
        <v>0</v>
      </c>
      <c r="W87" s="18" t="n">
        <f aca="false">Q87*Assumptions!$B$2*Assumptions!$B$10*Assumptions!$B$11*O87/100+Q87*Assumptions!$B$3*Assumptions!$B$12*Assumptions!$B$11*O87/100</f>
        <v>0</v>
      </c>
      <c r="X87" s="18" t="n">
        <f aca="false">S87*Assumptions!$B$9*Assumptions!$B$19</f>
        <v>0</v>
      </c>
      <c r="Y87" s="18" t="n">
        <f aca="false">W87+X87</f>
        <v>0</v>
      </c>
      <c r="Z87" s="18" t="n">
        <f aca="false">S87*Assumptions!$B$9</f>
        <v>0</v>
      </c>
      <c r="AA87" s="17" t="n">
        <f aca="false">Q87*Assumptions!$B$13*Assumptions!$B$14*8760/1000</f>
        <v>0</v>
      </c>
      <c r="AB87" s="17" t="n">
        <f aca="false">Q87*Assumptions!$B$13*8760*1000*Assumptions!$B$15/1233481.8</f>
        <v>0</v>
      </c>
    </row>
    <row r="88" customFormat="false" ht="15" hidden="false" customHeight="false" outlineLevel="0" collapsed="false">
      <c r="A88" s="2" t="s">
        <v>432</v>
      </c>
      <c r="B88" s="2" t="s">
        <v>433</v>
      </c>
      <c r="C88" s="2" t="s">
        <v>434</v>
      </c>
      <c r="D88" s="2" t="s">
        <v>435</v>
      </c>
      <c r="E88" s="2" t="s">
        <v>127</v>
      </c>
      <c r="F88" s="2" t="s">
        <v>436</v>
      </c>
      <c r="G88" s="13" t="n">
        <v>29</v>
      </c>
      <c r="H88" s="13" t="s">
        <v>404</v>
      </c>
      <c r="I88" s="14" t="n">
        <v>0</v>
      </c>
      <c r="J88" s="13" t="n">
        <v>0</v>
      </c>
      <c r="K88" s="13" t="n">
        <v>100</v>
      </c>
      <c r="L88" s="13" t="n">
        <v>0</v>
      </c>
      <c r="M88" s="15" t="n">
        <v>0.007</v>
      </c>
      <c r="N88" s="15" t="n">
        <v>0</v>
      </c>
      <c r="O88" s="13" t="n">
        <v>10.5</v>
      </c>
      <c r="P88" s="16" t="n">
        <f aca="false">IF(H88="operating",I88*Facilities!$Z$118,0)</f>
        <v>0</v>
      </c>
      <c r="Q88" s="16" t="n">
        <f aca="false">IF(H88="operating",P88,IF(OR(H88="under construction",H88="approved/planned",H88="proposed"),I88,0))</f>
        <v>0</v>
      </c>
      <c r="R88" s="16" t="n">
        <f aca="false">Q88</f>
        <v>0</v>
      </c>
      <c r="S88" s="17" t="n">
        <f aca="false">IF(H88="cancelled/withdrawn",0,IF(K88&gt;0,K88,IF(AND(H88="operating",I88&gt;0,I88&lt;=2),MAX(3,Q88*IF(J88=1,Assumptions!$B$6,Assumptions!$B$7)),Q88*IF(J88=1,Assumptions!$B$6,Assumptions!$B$7))))</f>
        <v>100</v>
      </c>
      <c r="T88" s="17" t="n">
        <f aca="false">S88*Assumptions!$B$8</f>
        <v>189</v>
      </c>
      <c r="U88" s="17" t="n">
        <f aca="false">R88*Assumptions!$B$2/1000000*Assumptions!$B$4</f>
        <v>0</v>
      </c>
      <c r="V88" s="18" t="n">
        <f aca="false">R88*Assumptions!$B$2*Assumptions!$B$18*(Assumptions!$B$17+M88+N88)</f>
        <v>0</v>
      </c>
      <c r="W88" s="18" t="n">
        <f aca="false">Q88*Assumptions!$B$2*Assumptions!$B$10*Assumptions!$B$11*O88/100+Q88*Assumptions!$B$3*Assumptions!$B$12*Assumptions!$B$11*O88/100</f>
        <v>0</v>
      </c>
      <c r="X88" s="18" t="n">
        <f aca="false">S88*Assumptions!$B$9*Assumptions!$B$19</f>
        <v>250000</v>
      </c>
      <c r="Y88" s="18" t="n">
        <f aca="false">W88+X88</f>
        <v>250000</v>
      </c>
      <c r="Z88" s="18" t="n">
        <f aca="false">S88*Assumptions!$B$9</f>
        <v>10000000</v>
      </c>
      <c r="AA88" s="17" t="n">
        <f aca="false">Q88*Assumptions!$B$13*Assumptions!$B$14*8760/1000</f>
        <v>0</v>
      </c>
      <c r="AB88" s="17" t="n">
        <f aca="false">Q88*Assumptions!$B$13*8760*1000*Assumptions!$B$15/1233481.8</f>
        <v>0</v>
      </c>
    </row>
    <row r="89" customFormat="false" ht="15" hidden="false" customHeight="false" outlineLevel="0" collapsed="false">
      <c r="A89" s="2" t="s">
        <v>437</v>
      </c>
      <c r="B89" s="2" t="s">
        <v>438</v>
      </c>
      <c r="C89" s="2" t="s">
        <v>439</v>
      </c>
      <c r="D89" s="2" t="s">
        <v>416</v>
      </c>
      <c r="E89" s="2" t="s">
        <v>417</v>
      </c>
      <c r="F89" s="2" t="s">
        <v>398</v>
      </c>
      <c r="G89" s="13" t="n">
        <v>7</v>
      </c>
      <c r="H89" s="13" t="s">
        <v>404</v>
      </c>
      <c r="I89" s="14" t="n">
        <v>0</v>
      </c>
      <c r="J89" s="13" t="n">
        <v>0</v>
      </c>
      <c r="K89" s="13" t="n">
        <v>0</v>
      </c>
      <c r="L89" s="13" t="n">
        <v>0</v>
      </c>
      <c r="M89" s="15" t="n">
        <v>0.011</v>
      </c>
      <c r="N89" s="15" t="n">
        <v>0.02</v>
      </c>
      <c r="O89" s="13" t="n">
        <v>10.5</v>
      </c>
      <c r="P89" s="16" t="n">
        <f aca="false">IF(H89="operating",I89*Facilities!$Z$118,0)</f>
        <v>0</v>
      </c>
      <c r="Q89" s="16" t="n">
        <f aca="false">IF(H89="operating",P89,IF(OR(H89="under construction",H89="approved/planned",H89="proposed"),I89,0))</f>
        <v>0</v>
      </c>
      <c r="R89" s="16" t="n">
        <f aca="false">Q89</f>
        <v>0</v>
      </c>
      <c r="S89" s="17" t="n">
        <f aca="false">IF(H89="cancelled/withdrawn",0,IF(K89&gt;0,K89,IF(AND(H89="operating",I89&gt;0,I89&lt;=2),MAX(3,Q89*IF(J89=1,Assumptions!$B$6,Assumptions!$B$7)),Q89*IF(J89=1,Assumptions!$B$6,Assumptions!$B$7))))</f>
        <v>0</v>
      </c>
      <c r="T89" s="17" t="n">
        <f aca="false">S89*Assumptions!$B$8</f>
        <v>0</v>
      </c>
      <c r="U89" s="17" t="n">
        <f aca="false">R89*Assumptions!$B$2/1000000*Assumptions!$B$4</f>
        <v>0</v>
      </c>
      <c r="V89" s="18" t="n">
        <f aca="false">R89*Assumptions!$B$2*Assumptions!$B$18*(Assumptions!$B$17+M89+N89)</f>
        <v>0</v>
      </c>
      <c r="W89" s="18" t="n">
        <f aca="false">Q89*Assumptions!$B$2*Assumptions!$B$10*Assumptions!$B$11*O89/100+Q89*Assumptions!$B$3*Assumptions!$B$12*Assumptions!$B$11*O89/100</f>
        <v>0</v>
      </c>
      <c r="X89" s="18" t="n">
        <f aca="false">S89*Assumptions!$B$9*Assumptions!$B$19</f>
        <v>0</v>
      </c>
      <c r="Y89" s="18" t="n">
        <f aca="false">W89+X89</f>
        <v>0</v>
      </c>
      <c r="Z89" s="18" t="n">
        <f aca="false">S89*Assumptions!$B$9</f>
        <v>0</v>
      </c>
      <c r="AA89" s="17" t="n">
        <f aca="false">Q89*Assumptions!$B$13*Assumptions!$B$14*8760/1000</f>
        <v>0</v>
      </c>
      <c r="AB89" s="17" t="n">
        <f aca="false">Q89*Assumptions!$B$13*8760*1000*Assumptions!$B$15/1233481.8</f>
        <v>0</v>
      </c>
    </row>
    <row r="90" customFormat="false" ht="15" hidden="false" customHeight="false" outlineLevel="0" collapsed="false">
      <c r="A90" s="2" t="s">
        <v>440</v>
      </c>
      <c r="B90" s="2" t="s">
        <v>441</v>
      </c>
      <c r="C90" s="2" t="s">
        <v>442</v>
      </c>
      <c r="D90" s="2" t="s">
        <v>443</v>
      </c>
      <c r="E90" s="2" t="s">
        <v>417</v>
      </c>
      <c r="F90" s="2" t="s">
        <v>398</v>
      </c>
      <c r="G90" s="13" t="n">
        <v>16</v>
      </c>
      <c r="H90" s="13" t="s">
        <v>404</v>
      </c>
      <c r="I90" s="14" t="n">
        <v>0</v>
      </c>
      <c r="J90" s="13" t="n">
        <v>0</v>
      </c>
      <c r="K90" s="13" t="n">
        <v>225</v>
      </c>
      <c r="L90" s="13" t="n">
        <v>0</v>
      </c>
      <c r="M90" s="15" t="n">
        <v>0.011</v>
      </c>
      <c r="N90" s="15" t="n">
        <v>0.04</v>
      </c>
      <c r="O90" s="13" t="n">
        <v>10.5</v>
      </c>
      <c r="P90" s="16" t="n">
        <f aca="false">IF(H90="operating",I90*Facilities!$Z$118,0)</f>
        <v>0</v>
      </c>
      <c r="Q90" s="16" t="n">
        <f aca="false">IF(H90="operating",P90,IF(OR(H90="under construction",H90="approved/planned",H90="proposed"),I90,0))</f>
        <v>0</v>
      </c>
      <c r="R90" s="16" t="n">
        <f aca="false">Q90</f>
        <v>0</v>
      </c>
      <c r="S90" s="17" t="n">
        <f aca="false">IF(H90="cancelled/withdrawn",0,IF(K90&gt;0,K90,IF(AND(H90="operating",I90&gt;0,I90&lt;=2),MAX(3,Q90*IF(J90=1,Assumptions!$B$6,Assumptions!$B$7)),Q90*IF(J90=1,Assumptions!$B$6,Assumptions!$B$7))))</f>
        <v>225</v>
      </c>
      <c r="T90" s="17" t="n">
        <f aca="false">S90*Assumptions!$B$8</f>
        <v>425.25</v>
      </c>
      <c r="U90" s="17" t="n">
        <f aca="false">R90*Assumptions!$B$2/1000000*Assumptions!$B$4</f>
        <v>0</v>
      </c>
      <c r="V90" s="18" t="n">
        <f aca="false">R90*Assumptions!$B$2*Assumptions!$B$18*(Assumptions!$B$17+M90+N90)</f>
        <v>0</v>
      </c>
      <c r="W90" s="18" t="n">
        <f aca="false">Q90*Assumptions!$B$2*Assumptions!$B$10*Assumptions!$B$11*O90/100+Q90*Assumptions!$B$3*Assumptions!$B$12*Assumptions!$B$11*O90/100</f>
        <v>0</v>
      </c>
      <c r="X90" s="18" t="n">
        <f aca="false">S90*Assumptions!$B$9*Assumptions!$B$19</f>
        <v>562500</v>
      </c>
      <c r="Y90" s="18" t="n">
        <f aca="false">W90+X90</f>
        <v>562500</v>
      </c>
      <c r="Z90" s="18" t="n">
        <f aca="false">S90*Assumptions!$B$9</f>
        <v>22500000</v>
      </c>
      <c r="AA90" s="17" t="n">
        <f aca="false">Q90*Assumptions!$B$13*Assumptions!$B$14*8760/1000</f>
        <v>0</v>
      </c>
      <c r="AB90" s="17" t="n">
        <f aca="false">Q90*Assumptions!$B$13*8760*1000*Assumptions!$B$15/1233481.8</f>
        <v>0</v>
      </c>
    </row>
    <row r="91" customFormat="false" ht="15" hidden="false" customHeight="false" outlineLevel="0" collapsed="false">
      <c r="A91" s="2" t="s">
        <v>444</v>
      </c>
      <c r="B91" s="2" t="s">
        <v>445</v>
      </c>
      <c r="C91" s="2" t="s">
        <v>446</v>
      </c>
      <c r="D91" s="2" t="s">
        <v>447</v>
      </c>
      <c r="E91" s="2" t="s">
        <v>417</v>
      </c>
      <c r="F91" s="2" t="s">
        <v>398</v>
      </c>
      <c r="G91" s="13" t="n">
        <v>16</v>
      </c>
      <c r="H91" s="13" t="s">
        <v>404</v>
      </c>
      <c r="I91" s="14" t="n">
        <v>0</v>
      </c>
      <c r="J91" s="13" t="n">
        <v>0</v>
      </c>
      <c r="K91" s="13" t="n">
        <v>500</v>
      </c>
      <c r="L91" s="13" t="n">
        <v>0</v>
      </c>
      <c r="M91" s="15" t="n">
        <v>0.011</v>
      </c>
      <c r="N91" s="15" t="n">
        <v>0.02</v>
      </c>
      <c r="O91" s="13" t="n">
        <v>10.5</v>
      </c>
      <c r="P91" s="16" t="n">
        <f aca="false">IF(H91="operating",I91*Facilities!$Z$118,0)</f>
        <v>0</v>
      </c>
      <c r="Q91" s="16" t="n">
        <f aca="false">IF(H91="operating",P91,IF(OR(H91="under construction",H91="approved/planned",H91="proposed"),I91,0))</f>
        <v>0</v>
      </c>
      <c r="R91" s="16" t="n">
        <f aca="false">Q91</f>
        <v>0</v>
      </c>
      <c r="S91" s="17" t="n">
        <f aca="false">IF(H91="cancelled/withdrawn",0,IF(K91&gt;0,K91,IF(AND(H91="operating",I91&gt;0,I91&lt;=2),MAX(3,Q91*IF(J91=1,Assumptions!$B$6,Assumptions!$B$7)),Q91*IF(J91=1,Assumptions!$B$6,Assumptions!$B$7))))</f>
        <v>500</v>
      </c>
      <c r="T91" s="17" t="n">
        <f aca="false">S91*Assumptions!$B$8</f>
        <v>945</v>
      </c>
      <c r="U91" s="17" t="n">
        <f aca="false">R91*Assumptions!$B$2/1000000*Assumptions!$B$4</f>
        <v>0</v>
      </c>
      <c r="V91" s="18" t="n">
        <f aca="false">R91*Assumptions!$B$2*Assumptions!$B$18*(Assumptions!$B$17+M91+N91)</f>
        <v>0</v>
      </c>
      <c r="W91" s="18" t="n">
        <f aca="false">Q91*Assumptions!$B$2*Assumptions!$B$10*Assumptions!$B$11*O91/100+Q91*Assumptions!$B$3*Assumptions!$B$12*Assumptions!$B$11*O91/100</f>
        <v>0</v>
      </c>
      <c r="X91" s="18" t="n">
        <f aca="false">S91*Assumptions!$B$9*Assumptions!$B$19</f>
        <v>1250000</v>
      </c>
      <c r="Y91" s="18" t="n">
        <f aca="false">W91+X91</f>
        <v>1250000</v>
      </c>
      <c r="Z91" s="18" t="n">
        <f aca="false">S91*Assumptions!$B$9</f>
        <v>50000000</v>
      </c>
      <c r="AA91" s="17" t="n">
        <f aca="false">Q91*Assumptions!$B$13*Assumptions!$B$14*8760/1000</f>
        <v>0</v>
      </c>
      <c r="AB91" s="17" t="n">
        <f aca="false">Q91*Assumptions!$B$13*8760*1000*Assumptions!$B$15/1233481.8</f>
        <v>0</v>
      </c>
    </row>
    <row r="92" customFormat="false" ht="15" hidden="false" customHeight="false" outlineLevel="0" collapsed="false">
      <c r="A92" s="2" t="s">
        <v>448</v>
      </c>
      <c r="B92" s="2" t="s">
        <v>449</v>
      </c>
      <c r="C92" s="2"/>
      <c r="D92" s="2" t="s">
        <v>443</v>
      </c>
      <c r="E92" s="2" t="s">
        <v>417</v>
      </c>
      <c r="F92" s="2" t="s">
        <v>398</v>
      </c>
      <c r="G92" s="13" t="n">
        <v>16</v>
      </c>
      <c r="H92" s="13" t="s">
        <v>404</v>
      </c>
      <c r="I92" s="14" t="n">
        <v>0</v>
      </c>
      <c r="J92" s="13" t="n">
        <v>0</v>
      </c>
      <c r="K92" s="13" t="n">
        <v>0</v>
      </c>
      <c r="L92" s="13" t="n">
        <v>0</v>
      </c>
      <c r="M92" s="15" t="n">
        <v>0.011</v>
      </c>
      <c r="N92" s="15" t="n">
        <v>0.04</v>
      </c>
      <c r="O92" s="13" t="n">
        <v>10.5</v>
      </c>
      <c r="P92" s="16" t="n">
        <f aca="false">IF(H92="operating",I92*Facilities!$Z$118,0)</f>
        <v>0</v>
      </c>
      <c r="Q92" s="16" t="n">
        <f aca="false">IF(H92="operating",P92,IF(OR(H92="under construction",H92="approved/planned",H92="proposed"),I92,0))</f>
        <v>0</v>
      </c>
      <c r="R92" s="16" t="n">
        <f aca="false">Q92</f>
        <v>0</v>
      </c>
      <c r="S92" s="17" t="n">
        <f aca="false">IF(H92="cancelled/withdrawn",0,IF(K92&gt;0,K92,IF(AND(H92="operating",I92&gt;0,I92&lt;=2),MAX(3,Q92*IF(J92=1,Assumptions!$B$6,Assumptions!$B$7)),Q92*IF(J92=1,Assumptions!$B$6,Assumptions!$B$7))))</f>
        <v>0</v>
      </c>
      <c r="T92" s="17" t="n">
        <f aca="false">S92*Assumptions!$B$8</f>
        <v>0</v>
      </c>
      <c r="U92" s="17" t="n">
        <f aca="false">R92*Assumptions!$B$2/1000000*Assumptions!$B$4</f>
        <v>0</v>
      </c>
      <c r="V92" s="18" t="n">
        <f aca="false">R92*Assumptions!$B$2*Assumptions!$B$18*(Assumptions!$B$17+M92+N92)</f>
        <v>0</v>
      </c>
      <c r="W92" s="18" t="n">
        <f aca="false">Q92*Assumptions!$B$2*Assumptions!$B$10*Assumptions!$B$11*O92/100+Q92*Assumptions!$B$3*Assumptions!$B$12*Assumptions!$B$11*O92/100</f>
        <v>0</v>
      </c>
      <c r="X92" s="18" t="n">
        <f aca="false">S92*Assumptions!$B$9*Assumptions!$B$19</f>
        <v>0</v>
      </c>
      <c r="Y92" s="18" t="n">
        <f aca="false">W92+X92</f>
        <v>0</v>
      </c>
      <c r="Z92" s="18" t="n">
        <f aca="false">S92*Assumptions!$B$9</f>
        <v>0</v>
      </c>
      <c r="AA92" s="17" t="n">
        <f aca="false">Q92*Assumptions!$B$13*Assumptions!$B$14*8760/1000</f>
        <v>0</v>
      </c>
      <c r="AB92" s="17" t="n">
        <f aca="false">Q92*Assumptions!$B$13*8760*1000*Assumptions!$B$15/1233481.8</f>
        <v>0</v>
      </c>
    </row>
    <row r="93" customFormat="false" ht="15" hidden="false" customHeight="false" outlineLevel="0" collapsed="false">
      <c r="A93" s="2" t="s">
        <v>450</v>
      </c>
      <c r="B93" s="2" t="s">
        <v>451</v>
      </c>
      <c r="C93" s="2" t="s">
        <v>452</v>
      </c>
      <c r="D93" s="2" t="s">
        <v>453</v>
      </c>
      <c r="E93" s="2" t="s">
        <v>330</v>
      </c>
      <c r="F93" s="2" t="s">
        <v>398</v>
      </c>
      <c r="G93" s="13" t="n">
        <v>17</v>
      </c>
      <c r="H93" s="13" t="s">
        <v>404</v>
      </c>
      <c r="I93" s="14" t="n">
        <v>0</v>
      </c>
      <c r="J93" s="13" t="n">
        <v>1</v>
      </c>
      <c r="K93" s="13" t="n">
        <v>0</v>
      </c>
      <c r="L93" s="13" t="n">
        <v>4200</v>
      </c>
      <c r="M93" s="15" t="n">
        <v>0.005</v>
      </c>
      <c r="N93" s="15" t="n">
        <v>0.04</v>
      </c>
      <c r="O93" s="13" t="n">
        <v>10.5</v>
      </c>
      <c r="P93" s="16" t="n">
        <f aca="false">IF(H93="operating",I93*Facilities!$Z$118,0)</f>
        <v>0</v>
      </c>
      <c r="Q93" s="16" t="n">
        <f aca="false">IF(H93="operating",P93,IF(OR(H93="under construction",H93="approved/planned",H93="proposed"),I93,0))</f>
        <v>0</v>
      </c>
      <c r="R93" s="16" t="n">
        <f aca="false">Q93</f>
        <v>0</v>
      </c>
      <c r="S93" s="17" t="n">
        <f aca="false">IF(H93="cancelled/withdrawn",0,IF(K93&gt;0,K93,IF(AND(H93="operating",I93&gt;0,I93&lt;=2),MAX(3,Q93*IF(J93=1,Assumptions!$B$6,Assumptions!$B$7)),Q93*IF(J93=1,Assumptions!$B$6,Assumptions!$B$7))))</f>
        <v>0</v>
      </c>
      <c r="T93" s="17" t="n">
        <f aca="false">S93*Assumptions!$B$8</f>
        <v>0</v>
      </c>
      <c r="U93" s="17" t="n">
        <f aca="false">R93*Assumptions!$B$2/1000000*Assumptions!$B$4</f>
        <v>0</v>
      </c>
      <c r="V93" s="18" t="n">
        <f aca="false">R93*Assumptions!$B$2*Assumptions!$B$18*(Assumptions!$B$17+M93+N93)</f>
        <v>0</v>
      </c>
      <c r="W93" s="18" t="n">
        <f aca="false">Q93*Assumptions!$B$2*Assumptions!$B$10*Assumptions!$B$11*O93/100+Q93*Assumptions!$B$3*Assumptions!$B$12*Assumptions!$B$11*O93/100</f>
        <v>0</v>
      </c>
      <c r="X93" s="18" t="n">
        <f aca="false">S93*Assumptions!$B$9*Assumptions!$B$19</f>
        <v>0</v>
      </c>
      <c r="Y93" s="18" t="n">
        <f aca="false">W93+X93</f>
        <v>0</v>
      </c>
      <c r="Z93" s="18" t="n">
        <f aca="false">S93*Assumptions!$B$9</f>
        <v>0</v>
      </c>
      <c r="AA93" s="17" t="n">
        <f aca="false">Q93*Assumptions!$B$13*Assumptions!$B$14*8760/1000</f>
        <v>0</v>
      </c>
      <c r="AB93" s="17" t="n">
        <f aca="false">Q93*Assumptions!$B$13*8760*1000*Assumptions!$B$15/1233481.8</f>
        <v>0</v>
      </c>
    </row>
    <row r="94" customFormat="false" ht="15" hidden="false" customHeight="false" outlineLevel="0" collapsed="false">
      <c r="A94" s="2" t="s">
        <v>454</v>
      </c>
      <c r="B94" s="2" t="s">
        <v>455</v>
      </c>
      <c r="C94" s="2" t="s">
        <v>456</v>
      </c>
      <c r="D94" s="2" t="s">
        <v>457</v>
      </c>
      <c r="E94" s="2" t="s">
        <v>458</v>
      </c>
      <c r="F94" s="2" t="s">
        <v>459</v>
      </c>
      <c r="G94" s="13" t="n">
        <v>30</v>
      </c>
      <c r="H94" s="13" t="s">
        <v>460</v>
      </c>
      <c r="I94" s="14" t="n">
        <v>1250</v>
      </c>
      <c r="J94" s="13" t="n">
        <v>1</v>
      </c>
      <c r="K94" s="13" t="n">
        <v>150</v>
      </c>
      <c r="L94" s="13" t="n">
        <v>1200</v>
      </c>
      <c r="M94" s="15" t="n">
        <v>0.005</v>
      </c>
      <c r="N94" s="15" t="n">
        <v>0</v>
      </c>
      <c r="O94" s="13" t="n">
        <v>10.5</v>
      </c>
      <c r="P94" s="16" t="n">
        <f aca="false">IF(H94="operating",I94*Facilities!$Z$118,0)</f>
        <v>0</v>
      </c>
      <c r="Q94" s="16" t="n">
        <f aca="false">IF(H94="operating",P94,IF(OR(H94="under construction",H94="approved/planned",H94="proposed"),I94,0))</f>
        <v>1250</v>
      </c>
      <c r="R94" s="16" t="n">
        <f aca="false">Q94</f>
        <v>1250</v>
      </c>
      <c r="S94" s="17" t="n">
        <f aca="false">IF(H94="cancelled/withdrawn",0,IF(K94&gt;0,K94,IF(AND(H94="operating",I94&gt;0,I94&lt;=2),MAX(3,Q94*IF(J94=1,Assumptions!$B$6,Assumptions!$B$7)),Q94*IF(J94=1,Assumptions!$B$6,Assumptions!$B$7))))</f>
        <v>150</v>
      </c>
      <c r="T94" s="17" t="n">
        <f aca="false">S94*Assumptions!$B$8</f>
        <v>283.5</v>
      </c>
      <c r="U94" s="17" t="n">
        <f aca="false">R94*Assumptions!$B$2/1000000*Assumptions!$B$4</f>
        <v>35312.5</v>
      </c>
      <c r="V94" s="18" t="n">
        <f aca="false">R94*Assumptions!$B$2*Assumptions!$B$18*(Assumptions!$B$17+M94+N94)</f>
        <v>560056250</v>
      </c>
      <c r="W94" s="18" t="n">
        <f aca="false">Q94*Assumptions!$B$2*Assumptions!$B$10*Assumptions!$B$11*O94/100+Q94*Assumptions!$B$3*Assumptions!$B$12*Assumptions!$B$11*O94/100</f>
        <v>84731718.75</v>
      </c>
      <c r="X94" s="18" t="n">
        <f aca="false">S94*Assumptions!$B$9*Assumptions!$B$19</f>
        <v>375000</v>
      </c>
      <c r="Y94" s="18" t="n">
        <f aca="false">W94+X94</f>
        <v>85106718.75</v>
      </c>
      <c r="Z94" s="18" t="n">
        <f aca="false">S94*Assumptions!$B$9</f>
        <v>15000000</v>
      </c>
      <c r="AA94" s="17" t="n">
        <f aca="false">Q94*Assumptions!$B$13*Assumptions!$B$14*8760/1000</f>
        <v>10676.25</v>
      </c>
      <c r="AB94" s="17" t="n">
        <f aca="false">Q94*Assumptions!$B$13*8760*1000*Assumptions!$B$15/1233481.8</f>
        <v>3994.78938400226</v>
      </c>
    </row>
    <row r="95" customFormat="false" ht="15" hidden="false" customHeight="false" outlineLevel="0" collapsed="false">
      <c r="A95" s="2" t="s">
        <v>461</v>
      </c>
      <c r="B95" s="2" t="s">
        <v>462</v>
      </c>
      <c r="C95" s="2" t="s">
        <v>463</v>
      </c>
      <c r="D95" s="2" t="s">
        <v>464</v>
      </c>
      <c r="E95" s="2" t="s">
        <v>465</v>
      </c>
      <c r="F95" s="2" t="s">
        <v>466</v>
      </c>
      <c r="G95" s="13" t="n">
        <v>6</v>
      </c>
      <c r="H95" s="13" t="s">
        <v>460</v>
      </c>
      <c r="I95" s="14" t="n">
        <v>1000</v>
      </c>
      <c r="J95" s="13" t="n">
        <v>1</v>
      </c>
      <c r="K95" s="13" t="n">
        <v>0</v>
      </c>
      <c r="L95" s="13" t="n">
        <v>0</v>
      </c>
      <c r="M95" s="15" t="n">
        <v>0.005</v>
      </c>
      <c r="N95" s="15" t="n">
        <v>0.03</v>
      </c>
      <c r="O95" s="13" t="n">
        <v>10.5</v>
      </c>
      <c r="P95" s="16" t="n">
        <f aca="false">IF(H95="operating",I95*Facilities!$Z$118,0)</f>
        <v>0</v>
      </c>
      <c r="Q95" s="16" t="n">
        <f aca="false">IF(H95="operating",P95,IF(OR(H95="under construction",H95="approved/planned",H95="proposed"),I95,0))</f>
        <v>1000</v>
      </c>
      <c r="R95" s="16" t="n">
        <f aca="false">Q95</f>
        <v>1000</v>
      </c>
      <c r="S95" s="17" t="n">
        <f aca="false">IF(H95="cancelled/withdrawn",0,IF(K95&gt;0,K95,IF(AND(H95="operating",I95&gt;0,I95&lt;=2),MAX(3,Q95*IF(J95=1,Assumptions!$B$6,Assumptions!$B$7)),Q95*IF(J95=1,Assumptions!$B$6,Assumptions!$B$7))))</f>
        <v>600</v>
      </c>
      <c r="T95" s="17" t="n">
        <f aca="false">S95*Assumptions!$B$8</f>
        <v>1134</v>
      </c>
      <c r="U95" s="17" t="n">
        <f aca="false">R95*Assumptions!$B$2/1000000*Assumptions!$B$4</f>
        <v>28250</v>
      </c>
      <c r="V95" s="18" t="n">
        <f aca="false">R95*Assumptions!$B$2*Assumptions!$B$18*(Assumptions!$B$17+M95+N95)</f>
        <v>668395000</v>
      </c>
      <c r="W95" s="18" t="n">
        <f aca="false">Q95*Assumptions!$B$2*Assumptions!$B$10*Assumptions!$B$11*O95/100+Q95*Assumptions!$B$3*Assumptions!$B$12*Assumptions!$B$11*O95/100</f>
        <v>67785375</v>
      </c>
      <c r="X95" s="18" t="n">
        <f aca="false">S95*Assumptions!$B$9*Assumptions!$B$19</f>
        <v>1500000</v>
      </c>
      <c r="Y95" s="18" t="n">
        <f aca="false">W95+X95</f>
        <v>69285375</v>
      </c>
      <c r="Z95" s="18" t="n">
        <f aca="false">S95*Assumptions!$B$9</f>
        <v>60000000</v>
      </c>
      <c r="AA95" s="17" t="n">
        <f aca="false">Q95*Assumptions!$B$13*Assumptions!$B$14*8760/1000</f>
        <v>8541</v>
      </c>
      <c r="AB95" s="17" t="n">
        <f aca="false">Q95*Assumptions!$B$13*8760*1000*Assumptions!$B$15/1233481.8</f>
        <v>3195.83150720181</v>
      </c>
    </row>
    <row r="96" customFormat="false" ht="15" hidden="false" customHeight="false" outlineLevel="0" collapsed="false">
      <c r="A96" s="2" t="s">
        <v>467</v>
      </c>
      <c r="B96" s="2" t="s">
        <v>468</v>
      </c>
      <c r="C96" s="2" t="s">
        <v>469</v>
      </c>
      <c r="D96" s="2" t="s">
        <v>329</v>
      </c>
      <c r="E96" s="2" t="s">
        <v>330</v>
      </c>
      <c r="F96" s="2" t="s">
        <v>470</v>
      </c>
      <c r="G96" s="13" t="n">
        <v>21</v>
      </c>
      <c r="H96" s="13" t="s">
        <v>460</v>
      </c>
      <c r="I96" s="14" t="n">
        <v>500</v>
      </c>
      <c r="J96" s="13" t="n">
        <v>1</v>
      </c>
      <c r="K96" s="13" t="n">
        <v>0</v>
      </c>
      <c r="L96" s="13" t="n">
        <v>0</v>
      </c>
      <c r="M96" s="15" t="n">
        <v>0.005</v>
      </c>
      <c r="N96" s="15" t="n">
        <v>0.026</v>
      </c>
      <c r="O96" s="13" t="n">
        <v>10.5</v>
      </c>
      <c r="P96" s="16" t="n">
        <f aca="false">IF(H96="operating",I96*Facilities!$Z$118,0)</f>
        <v>0</v>
      </c>
      <c r="Q96" s="16" t="n">
        <f aca="false">IF(H96="operating",P96,IF(OR(H96="under construction",H96="approved/planned",H96="proposed"),I96,0))</f>
        <v>500</v>
      </c>
      <c r="R96" s="16" t="n">
        <f aca="false">Q96</f>
        <v>500</v>
      </c>
      <c r="S96" s="17" t="n">
        <f aca="false">IF(H96="cancelled/withdrawn",0,IF(K96&gt;0,K96,IF(AND(H96="operating",I96&gt;0,I96&lt;=2),MAX(3,Q96*IF(J96=1,Assumptions!$B$6,Assumptions!$B$7)),Q96*IF(J96=1,Assumptions!$B$6,Assumptions!$B$7))))</f>
        <v>300</v>
      </c>
      <c r="T96" s="17" t="n">
        <f aca="false">S96*Assumptions!$B$8</f>
        <v>567</v>
      </c>
      <c r="U96" s="17" t="n">
        <f aca="false">R96*Assumptions!$B$2/1000000*Assumptions!$B$4</f>
        <v>14125</v>
      </c>
      <c r="V96" s="18" t="n">
        <f aca="false">R96*Assumptions!$B$2*Assumptions!$B$18*(Assumptions!$B$17+M96+N96)</f>
        <v>319507500</v>
      </c>
      <c r="W96" s="18" t="n">
        <f aca="false">Q96*Assumptions!$B$2*Assumptions!$B$10*Assumptions!$B$11*O96/100+Q96*Assumptions!$B$3*Assumptions!$B$12*Assumptions!$B$11*O96/100</f>
        <v>33892687.5</v>
      </c>
      <c r="X96" s="18" t="n">
        <f aca="false">S96*Assumptions!$B$9*Assumptions!$B$19</f>
        <v>750000</v>
      </c>
      <c r="Y96" s="18" t="n">
        <f aca="false">W96+X96</f>
        <v>34642687.5</v>
      </c>
      <c r="Z96" s="18" t="n">
        <f aca="false">S96*Assumptions!$B$9</f>
        <v>30000000</v>
      </c>
      <c r="AA96" s="17" t="n">
        <f aca="false">Q96*Assumptions!$B$13*Assumptions!$B$14*8760/1000</f>
        <v>4270.5</v>
      </c>
      <c r="AB96" s="17" t="n">
        <f aca="false">Q96*Assumptions!$B$13*8760*1000*Assumptions!$B$15/1233481.8</f>
        <v>1597.9157536009</v>
      </c>
    </row>
    <row r="97" customFormat="false" ht="15" hidden="false" customHeight="false" outlineLevel="0" collapsed="false">
      <c r="A97" s="2" t="s">
        <v>471</v>
      </c>
      <c r="B97" s="2" t="s">
        <v>472</v>
      </c>
      <c r="C97" s="2" t="s">
        <v>439</v>
      </c>
      <c r="D97" s="2" t="s">
        <v>473</v>
      </c>
      <c r="E97" s="2" t="s">
        <v>417</v>
      </c>
      <c r="F97" s="2" t="s">
        <v>474</v>
      </c>
      <c r="G97" s="13" t="n">
        <v>16</v>
      </c>
      <c r="H97" s="13" t="s">
        <v>460</v>
      </c>
      <c r="I97" s="14" t="n">
        <v>400</v>
      </c>
      <c r="J97" s="13" t="n">
        <v>1</v>
      </c>
      <c r="K97" s="13" t="n">
        <v>0</v>
      </c>
      <c r="L97" s="13" t="n">
        <v>0</v>
      </c>
      <c r="M97" s="15" t="n">
        <v>0.011</v>
      </c>
      <c r="N97" s="15" t="n">
        <v>0.045</v>
      </c>
      <c r="O97" s="13" t="n">
        <v>10.5</v>
      </c>
      <c r="P97" s="16" t="n">
        <f aca="false">IF(H97="operating",I97*Facilities!$Z$118,0)</f>
        <v>0</v>
      </c>
      <c r="Q97" s="16" t="n">
        <f aca="false">IF(H97="operating",P97,IF(OR(H97="under construction",H97="approved/planned",H97="proposed"),I97,0))</f>
        <v>400</v>
      </c>
      <c r="R97" s="16" t="n">
        <f aca="false">Q97</f>
        <v>400</v>
      </c>
      <c r="S97" s="17" t="n">
        <f aca="false">IF(H97="cancelled/withdrawn",0,IF(K97&gt;0,K97,IF(AND(H97="operating",I97&gt;0,I97&lt;=2),MAX(3,Q97*IF(J97=1,Assumptions!$B$6,Assumptions!$B$7)),Q97*IF(J97=1,Assumptions!$B$6,Assumptions!$B$7))))</f>
        <v>240</v>
      </c>
      <c r="T97" s="17" t="n">
        <f aca="false">S97*Assumptions!$B$8</f>
        <v>453.6</v>
      </c>
      <c r="U97" s="17" t="n">
        <f aca="false">R97*Assumptions!$B$2/1000000*Assumptions!$B$4</f>
        <v>11300</v>
      </c>
      <c r="V97" s="18" t="n">
        <f aca="false">R97*Assumptions!$B$2*Assumptions!$B$18*(Assumptions!$B$17+M97+N97)</f>
        <v>329056000</v>
      </c>
      <c r="W97" s="18" t="n">
        <f aca="false">Q97*Assumptions!$B$2*Assumptions!$B$10*Assumptions!$B$11*O97/100+Q97*Assumptions!$B$3*Assumptions!$B$12*Assumptions!$B$11*O97/100</f>
        <v>27114150</v>
      </c>
      <c r="X97" s="18" t="n">
        <f aca="false">S97*Assumptions!$B$9*Assumptions!$B$19</f>
        <v>600000</v>
      </c>
      <c r="Y97" s="18" t="n">
        <f aca="false">W97+X97</f>
        <v>27714150</v>
      </c>
      <c r="Z97" s="18" t="n">
        <f aca="false">S97*Assumptions!$B$9</f>
        <v>24000000</v>
      </c>
      <c r="AA97" s="17" t="n">
        <f aca="false">Q97*Assumptions!$B$13*Assumptions!$B$14*8760/1000</f>
        <v>3416.4</v>
      </c>
      <c r="AB97" s="17" t="n">
        <f aca="false">Q97*Assumptions!$B$13*8760*1000*Assumptions!$B$15/1233481.8</f>
        <v>1278.33260288072</v>
      </c>
    </row>
    <row r="98" customFormat="false" ht="15" hidden="false" customHeight="false" outlineLevel="0" collapsed="false">
      <c r="A98" s="2" t="s">
        <v>475</v>
      </c>
      <c r="B98" s="2" t="s">
        <v>476</v>
      </c>
      <c r="C98" s="2" t="s">
        <v>145</v>
      </c>
      <c r="D98" s="2" t="s">
        <v>126</v>
      </c>
      <c r="E98" s="2" t="s">
        <v>127</v>
      </c>
      <c r="F98" s="2" t="s">
        <v>477</v>
      </c>
      <c r="G98" s="13" t="n">
        <v>15</v>
      </c>
      <c r="H98" s="13" t="s">
        <v>460</v>
      </c>
      <c r="I98" s="14" t="n">
        <v>360</v>
      </c>
      <c r="J98" s="13" t="n">
        <v>1</v>
      </c>
      <c r="K98" s="13" t="n">
        <v>0</v>
      </c>
      <c r="L98" s="13" t="n">
        <v>0</v>
      </c>
      <c r="M98" s="15" t="n">
        <v>0.007</v>
      </c>
      <c r="N98" s="15" t="n">
        <v>0.02</v>
      </c>
      <c r="O98" s="13" t="n">
        <v>9.3</v>
      </c>
      <c r="P98" s="16" t="n">
        <f aca="false">IF(H98="operating",I98*Facilities!$Z$118,0)</f>
        <v>0</v>
      </c>
      <c r="Q98" s="16" t="n">
        <f aca="false">IF(H98="operating",P98,IF(OR(H98="under construction",H98="approved/planned",H98="proposed"),I98,0))</f>
        <v>360</v>
      </c>
      <c r="R98" s="16" t="n">
        <f aca="false">Q98</f>
        <v>360</v>
      </c>
      <c r="S98" s="17" t="n">
        <f aca="false">IF(H98="cancelled/withdrawn",0,IF(K98&gt;0,K98,IF(AND(H98="operating",I98&gt;0,I98&lt;=2),MAX(3,Q98*IF(J98=1,Assumptions!$B$6,Assumptions!$B$7)),Q98*IF(J98=1,Assumptions!$B$6,Assumptions!$B$7))))</f>
        <v>216</v>
      </c>
      <c r="T98" s="17" t="n">
        <f aca="false">S98*Assumptions!$B$8</f>
        <v>408.24</v>
      </c>
      <c r="U98" s="17" t="n">
        <f aca="false">R98*Assumptions!$B$2/1000000*Assumptions!$B$4</f>
        <v>10170</v>
      </c>
      <c r="V98" s="18" t="n">
        <f aca="false">R98*Assumptions!$B$2*Assumptions!$B$18*(Assumptions!$B$17+M98+N98)</f>
        <v>219468600</v>
      </c>
      <c r="W98" s="18" t="n">
        <f aca="false">Q98*Assumptions!$B$2*Assumptions!$B$10*Assumptions!$B$11*O98/100+Q98*Assumptions!$B$3*Assumptions!$B$12*Assumptions!$B$11*O98/100</f>
        <v>21613851</v>
      </c>
      <c r="X98" s="18" t="n">
        <f aca="false">S98*Assumptions!$B$9*Assumptions!$B$19</f>
        <v>540000</v>
      </c>
      <c r="Y98" s="18" t="n">
        <f aca="false">W98+X98</f>
        <v>22153851</v>
      </c>
      <c r="Z98" s="18" t="n">
        <f aca="false">S98*Assumptions!$B$9</f>
        <v>21600000</v>
      </c>
      <c r="AA98" s="17" t="n">
        <f aca="false">Q98*Assumptions!$B$13*Assumptions!$B$14*8760/1000</f>
        <v>3074.76</v>
      </c>
      <c r="AB98" s="17" t="n">
        <f aca="false">Q98*Assumptions!$B$13*8760*1000*Assumptions!$B$15/1233481.8</f>
        <v>1150.49934259265</v>
      </c>
    </row>
    <row r="99" customFormat="false" ht="15" hidden="false" customHeight="false" outlineLevel="0" collapsed="false">
      <c r="A99" s="2" t="s">
        <v>478</v>
      </c>
      <c r="B99" s="2" t="s">
        <v>479</v>
      </c>
      <c r="C99" s="2" t="s">
        <v>167</v>
      </c>
      <c r="D99" s="2" t="s">
        <v>126</v>
      </c>
      <c r="E99" s="2" t="s">
        <v>127</v>
      </c>
      <c r="F99" s="2" t="s">
        <v>480</v>
      </c>
      <c r="G99" s="13" t="n">
        <v>15</v>
      </c>
      <c r="H99" s="13" t="s">
        <v>460</v>
      </c>
      <c r="I99" s="14" t="n">
        <v>198</v>
      </c>
      <c r="J99" s="13" t="n">
        <v>0</v>
      </c>
      <c r="K99" s="13" t="n">
        <v>0</v>
      </c>
      <c r="L99" s="13" t="n">
        <v>0</v>
      </c>
      <c r="M99" s="15" t="n">
        <v>0.007</v>
      </c>
      <c r="N99" s="15" t="n">
        <v>0.02</v>
      </c>
      <c r="O99" s="13" t="n">
        <v>9.3</v>
      </c>
      <c r="P99" s="16" t="n">
        <f aca="false">IF(H99="operating",I99*Facilities!$Z$118,0)</f>
        <v>0</v>
      </c>
      <c r="Q99" s="16" t="n">
        <f aca="false">IF(H99="operating",P99,IF(OR(H99="under construction",H99="approved/planned",H99="proposed"),I99,0))</f>
        <v>198</v>
      </c>
      <c r="R99" s="16" t="n">
        <f aca="false">Q99</f>
        <v>198</v>
      </c>
      <c r="S99" s="17" t="n">
        <f aca="false">IF(H99="cancelled/withdrawn",0,IF(K99&gt;0,K99,IF(AND(H99="operating",I99&gt;0,I99&lt;=2),MAX(3,Q99*IF(J99=1,Assumptions!$B$6,Assumptions!$B$7)),Q99*IF(J99=1,Assumptions!$B$6,Assumptions!$B$7))))</f>
        <v>396</v>
      </c>
      <c r="T99" s="17" t="n">
        <f aca="false">S99*Assumptions!$B$8</f>
        <v>748.44</v>
      </c>
      <c r="U99" s="17" t="n">
        <f aca="false">R99*Assumptions!$B$2/1000000*Assumptions!$B$4</f>
        <v>5593.5</v>
      </c>
      <c r="V99" s="18" t="n">
        <f aca="false">R99*Assumptions!$B$2*Assumptions!$B$18*(Assumptions!$B$17+M99+N99)</f>
        <v>120707730</v>
      </c>
      <c r="W99" s="18" t="n">
        <f aca="false">Q99*Assumptions!$B$2*Assumptions!$B$10*Assumptions!$B$11*O99/100+Q99*Assumptions!$B$3*Assumptions!$B$12*Assumptions!$B$11*O99/100</f>
        <v>11887618.05</v>
      </c>
      <c r="X99" s="18" t="n">
        <f aca="false">S99*Assumptions!$B$9*Assumptions!$B$19</f>
        <v>990000</v>
      </c>
      <c r="Y99" s="18" t="n">
        <f aca="false">W99+X99</f>
        <v>12877618.05</v>
      </c>
      <c r="Z99" s="18" t="n">
        <f aca="false">S99*Assumptions!$B$9</f>
        <v>39600000</v>
      </c>
      <c r="AA99" s="17" t="n">
        <f aca="false">Q99*Assumptions!$B$13*Assumptions!$B$14*8760/1000</f>
        <v>1691.118</v>
      </c>
      <c r="AB99" s="17" t="n">
        <f aca="false">Q99*Assumptions!$B$13*8760*1000*Assumptions!$B$15/1233481.8</f>
        <v>632.774638425958</v>
      </c>
    </row>
    <row r="100" customFormat="false" ht="15" hidden="false" customHeight="false" outlineLevel="0" collapsed="false">
      <c r="A100" s="2" t="s">
        <v>481</v>
      </c>
      <c r="B100" s="2" t="s">
        <v>482</v>
      </c>
      <c r="C100" s="2" t="s">
        <v>385</v>
      </c>
      <c r="D100" s="2" t="s">
        <v>126</v>
      </c>
      <c r="E100" s="2" t="s">
        <v>127</v>
      </c>
      <c r="F100" s="2" t="s">
        <v>398</v>
      </c>
      <c r="G100" s="13" t="n">
        <v>9</v>
      </c>
      <c r="H100" s="13" t="s">
        <v>460</v>
      </c>
      <c r="I100" s="14" t="n">
        <v>0</v>
      </c>
      <c r="J100" s="13" t="n">
        <v>1</v>
      </c>
      <c r="K100" s="13" t="n">
        <v>0</v>
      </c>
      <c r="L100" s="13" t="n">
        <v>0</v>
      </c>
      <c r="M100" s="15" t="n">
        <v>0.007</v>
      </c>
      <c r="N100" s="15" t="n">
        <v>0.02</v>
      </c>
      <c r="O100" s="13" t="n">
        <v>9.3</v>
      </c>
      <c r="P100" s="16" t="n">
        <f aca="false">IF(H100="operating",I100*Facilities!$Z$118,0)</f>
        <v>0</v>
      </c>
      <c r="Q100" s="16" t="n">
        <f aca="false">IF(H100="operating",P100,IF(OR(H100="under construction",H100="approved/planned",H100="proposed"),I100,0))</f>
        <v>0</v>
      </c>
      <c r="R100" s="16" t="n">
        <f aca="false">Q100</f>
        <v>0</v>
      </c>
      <c r="S100" s="17" t="n">
        <f aca="false">IF(H100="cancelled/withdrawn",0,IF(K100&gt;0,K100,IF(AND(H100="operating",I100&gt;0,I100&lt;=2),MAX(3,Q100*IF(J100=1,Assumptions!$B$6,Assumptions!$B$7)),Q100*IF(J100=1,Assumptions!$B$6,Assumptions!$B$7))))</f>
        <v>0</v>
      </c>
      <c r="T100" s="17" t="n">
        <f aca="false">S100*Assumptions!$B$8</f>
        <v>0</v>
      </c>
      <c r="U100" s="17" t="n">
        <f aca="false">R100*Assumptions!$B$2/1000000*Assumptions!$B$4</f>
        <v>0</v>
      </c>
      <c r="V100" s="18" t="n">
        <f aca="false">R100*Assumptions!$B$2*Assumptions!$B$18*(Assumptions!$B$17+M100+N100)</f>
        <v>0</v>
      </c>
      <c r="W100" s="18" t="n">
        <f aca="false">Q100*Assumptions!$B$2*Assumptions!$B$10*Assumptions!$B$11*O100/100+Q100*Assumptions!$B$3*Assumptions!$B$12*Assumptions!$B$11*O100/100</f>
        <v>0</v>
      </c>
      <c r="X100" s="18" t="n">
        <f aca="false">S100*Assumptions!$B$9*Assumptions!$B$19</f>
        <v>0</v>
      </c>
      <c r="Y100" s="18" t="n">
        <f aca="false">W100+X100</f>
        <v>0</v>
      </c>
      <c r="Z100" s="18" t="n">
        <f aca="false">S100*Assumptions!$B$9</f>
        <v>0</v>
      </c>
      <c r="AA100" s="17" t="n">
        <f aca="false">Q100*Assumptions!$B$13*Assumptions!$B$14*8760/1000</f>
        <v>0</v>
      </c>
      <c r="AB100" s="17" t="n">
        <f aca="false">Q100*Assumptions!$B$13*8760*1000*Assumptions!$B$15/1233481.8</f>
        <v>0</v>
      </c>
    </row>
    <row r="101" customFormat="false" ht="15" hidden="false" customHeight="false" outlineLevel="0" collapsed="false">
      <c r="A101" s="2" t="s">
        <v>483</v>
      </c>
      <c r="B101" s="2" t="s">
        <v>484</v>
      </c>
      <c r="C101" s="2" t="s">
        <v>385</v>
      </c>
      <c r="D101" s="2" t="s">
        <v>485</v>
      </c>
      <c r="E101" s="2" t="s">
        <v>127</v>
      </c>
      <c r="F101" s="2" t="s">
        <v>398</v>
      </c>
      <c r="G101" s="13" t="n">
        <v>11</v>
      </c>
      <c r="H101" s="13" t="s">
        <v>460</v>
      </c>
      <c r="I101" s="14" t="n">
        <v>0</v>
      </c>
      <c r="J101" s="13" t="n">
        <v>1</v>
      </c>
      <c r="K101" s="13" t="n">
        <v>0</v>
      </c>
      <c r="L101" s="13" t="n">
        <v>0</v>
      </c>
      <c r="M101" s="15" t="n">
        <v>0.007</v>
      </c>
      <c r="N101" s="15" t="n">
        <v>0.028</v>
      </c>
      <c r="O101" s="13" t="n">
        <v>11</v>
      </c>
      <c r="P101" s="16" t="n">
        <f aca="false">IF(H101="operating",I101*Facilities!$Z$118,0)</f>
        <v>0</v>
      </c>
      <c r="Q101" s="16" t="n">
        <f aca="false">IF(H101="operating",P101,IF(OR(H101="under construction",H101="approved/planned",H101="proposed"),I101,0))</f>
        <v>0</v>
      </c>
      <c r="R101" s="16" t="n">
        <f aca="false">Q101</f>
        <v>0</v>
      </c>
      <c r="S101" s="17" t="n">
        <f aca="false">IF(H101="cancelled/withdrawn",0,IF(K101&gt;0,K101,IF(AND(H101="operating",I101&gt;0,I101&lt;=2),MAX(3,Q101*IF(J101=1,Assumptions!$B$6,Assumptions!$B$7)),Q101*IF(J101=1,Assumptions!$B$6,Assumptions!$B$7))))</f>
        <v>0</v>
      </c>
      <c r="T101" s="17" t="n">
        <f aca="false">S101*Assumptions!$B$8</f>
        <v>0</v>
      </c>
      <c r="U101" s="17" t="n">
        <f aca="false">R101*Assumptions!$B$2/1000000*Assumptions!$B$4</f>
        <v>0</v>
      </c>
      <c r="V101" s="18" t="n">
        <f aca="false">R101*Assumptions!$B$2*Assumptions!$B$18*(Assumptions!$B$17+M101+N101)</f>
        <v>0</v>
      </c>
      <c r="W101" s="18" t="n">
        <f aca="false">Q101*Assumptions!$B$2*Assumptions!$B$10*Assumptions!$B$11*O101/100+Q101*Assumptions!$B$3*Assumptions!$B$12*Assumptions!$B$11*O101/100</f>
        <v>0</v>
      </c>
      <c r="X101" s="18" t="n">
        <f aca="false">S101*Assumptions!$B$9*Assumptions!$B$19</f>
        <v>0</v>
      </c>
      <c r="Y101" s="18" t="n">
        <f aca="false">W101+X101</f>
        <v>0</v>
      </c>
      <c r="Z101" s="18" t="n">
        <f aca="false">S101*Assumptions!$B$9</f>
        <v>0</v>
      </c>
      <c r="AA101" s="17" t="n">
        <f aca="false">Q101*Assumptions!$B$13*Assumptions!$B$14*8760/1000</f>
        <v>0</v>
      </c>
      <c r="AB101" s="17" t="n">
        <f aca="false">Q101*Assumptions!$B$13*8760*1000*Assumptions!$B$15/1233481.8</f>
        <v>0</v>
      </c>
    </row>
    <row r="102" customFormat="false" ht="15" hidden="false" customHeight="false" outlineLevel="0" collapsed="false">
      <c r="A102" s="2" t="s">
        <v>486</v>
      </c>
      <c r="B102" s="2" t="s">
        <v>487</v>
      </c>
      <c r="C102" s="2" t="s">
        <v>159</v>
      </c>
      <c r="D102" s="2" t="s">
        <v>488</v>
      </c>
      <c r="E102" s="2" t="s">
        <v>127</v>
      </c>
      <c r="F102" s="2" t="s">
        <v>398</v>
      </c>
      <c r="G102" s="13" t="n">
        <v>27</v>
      </c>
      <c r="H102" s="13" t="s">
        <v>460</v>
      </c>
      <c r="I102" s="14" t="n">
        <v>0</v>
      </c>
      <c r="J102" s="13" t="n">
        <v>0</v>
      </c>
      <c r="K102" s="13" t="n">
        <v>0</v>
      </c>
      <c r="L102" s="13" t="n">
        <v>0</v>
      </c>
      <c r="M102" s="15" t="n">
        <v>0.007</v>
      </c>
      <c r="N102" s="15" t="n">
        <v>0.018</v>
      </c>
      <c r="O102" s="13" t="n">
        <v>10.5</v>
      </c>
      <c r="P102" s="16" t="n">
        <f aca="false">IF(H102="operating",I102*Facilities!$Z$118,0)</f>
        <v>0</v>
      </c>
      <c r="Q102" s="16" t="n">
        <f aca="false">IF(H102="operating",P102,IF(OR(H102="under construction",H102="approved/planned",H102="proposed"),I102,0))</f>
        <v>0</v>
      </c>
      <c r="R102" s="16" t="n">
        <f aca="false">Q102</f>
        <v>0</v>
      </c>
      <c r="S102" s="17" t="n">
        <f aca="false">IF(H102="cancelled/withdrawn",0,IF(K102&gt;0,K102,IF(AND(H102="operating",I102&gt;0,I102&lt;=2),MAX(3,Q102*IF(J102=1,Assumptions!$B$6,Assumptions!$B$7)),Q102*IF(J102=1,Assumptions!$B$6,Assumptions!$B$7))))</f>
        <v>0</v>
      </c>
      <c r="T102" s="17" t="n">
        <f aca="false">S102*Assumptions!$B$8</f>
        <v>0</v>
      </c>
      <c r="U102" s="17" t="n">
        <f aca="false">R102*Assumptions!$B$2/1000000*Assumptions!$B$4</f>
        <v>0</v>
      </c>
      <c r="V102" s="18" t="n">
        <f aca="false">R102*Assumptions!$B$2*Assumptions!$B$18*(Assumptions!$B$17+M102+N102)</f>
        <v>0</v>
      </c>
      <c r="W102" s="18" t="n">
        <f aca="false">Q102*Assumptions!$B$2*Assumptions!$B$10*Assumptions!$B$11*O102/100+Q102*Assumptions!$B$3*Assumptions!$B$12*Assumptions!$B$11*O102/100</f>
        <v>0</v>
      </c>
      <c r="X102" s="18" t="n">
        <f aca="false">S102*Assumptions!$B$9*Assumptions!$B$19</f>
        <v>0</v>
      </c>
      <c r="Y102" s="18" t="n">
        <f aca="false">W102+X102</f>
        <v>0</v>
      </c>
      <c r="Z102" s="18" t="n">
        <f aca="false">S102*Assumptions!$B$9</f>
        <v>0</v>
      </c>
      <c r="AA102" s="17" t="n">
        <f aca="false">Q102*Assumptions!$B$13*Assumptions!$B$14*8760/1000</f>
        <v>0</v>
      </c>
      <c r="AB102" s="17" t="n">
        <f aca="false">Q102*Assumptions!$B$13*8760*1000*Assumptions!$B$15/1233481.8</f>
        <v>0</v>
      </c>
    </row>
    <row r="103" customFormat="false" ht="15" hidden="false" customHeight="false" outlineLevel="0" collapsed="false">
      <c r="A103" s="2" t="s">
        <v>489</v>
      </c>
      <c r="B103" s="2" t="s">
        <v>490</v>
      </c>
      <c r="C103" s="2" t="s">
        <v>407</v>
      </c>
      <c r="D103" s="2" t="s">
        <v>408</v>
      </c>
      <c r="E103" s="2" t="s">
        <v>127</v>
      </c>
      <c r="F103" s="2" t="s">
        <v>398</v>
      </c>
      <c r="G103" s="13" t="n">
        <v>25</v>
      </c>
      <c r="H103" s="13" t="s">
        <v>460</v>
      </c>
      <c r="I103" s="14" t="n">
        <v>0</v>
      </c>
      <c r="J103" s="13" t="n">
        <v>0</v>
      </c>
      <c r="K103" s="13" t="n">
        <v>0</v>
      </c>
      <c r="L103" s="13" t="n">
        <v>0</v>
      </c>
      <c r="M103" s="15" t="n">
        <v>0.007</v>
      </c>
      <c r="N103" s="15" t="n">
        <v>0</v>
      </c>
      <c r="O103" s="13" t="n">
        <v>10.5</v>
      </c>
      <c r="P103" s="16" t="n">
        <f aca="false">IF(H103="operating",I103*Facilities!$Z$118,0)</f>
        <v>0</v>
      </c>
      <c r="Q103" s="16" t="n">
        <f aca="false">IF(H103="operating",P103,IF(OR(H103="under construction",H103="approved/planned",H103="proposed"),I103,0))</f>
        <v>0</v>
      </c>
      <c r="R103" s="16" t="n">
        <f aca="false">Q103</f>
        <v>0</v>
      </c>
      <c r="S103" s="17" t="n">
        <f aca="false">IF(H103="cancelled/withdrawn",0,IF(K103&gt;0,K103,IF(AND(H103="operating",I103&gt;0,I103&lt;=2),MAX(3,Q103*IF(J103=1,Assumptions!$B$6,Assumptions!$B$7)),Q103*IF(J103=1,Assumptions!$B$6,Assumptions!$B$7))))</f>
        <v>0</v>
      </c>
      <c r="T103" s="17" t="n">
        <f aca="false">S103*Assumptions!$B$8</f>
        <v>0</v>
      </c>
      <c r="U103" s="17" t="n">
        <f aca="false">R103*Assumptions!$B$2/1000000*Assumptions!$B$4</f>
        <v>0</v>
      </c>
      <c r="V103" s="18" t="n">
        <f aca="false">R103*Assumptions!$B$2*Assumptions!$B$18*(Assumptions!$B$17+M103+N103)</f>
        <v>0</v>
      </c>
      <c r="W103" s="18" t="n">
        <f aca="false">Q103*Assumptions!$B$2*Assumptions!$B$10*Assumptions!$B$11*O103/100+Q103*Assumptions!$B$3*Assumptions!$B$12*Assumptions!$B$11*O103/100</f>
        <v>0</v>
      </c>
      <c r="X103" s="18" t="n">
        <f aca="false">S103*Assumptions!$B$9*Assumptions!$B$19</f>
        <v>0</v>
      </c>
      <c r="Y103" s="18" t="n">
        <f aca="false">W103+X103</f>
        <v>0</v>
      </c>
      <c r="Z103" s="18" t="n">
        <f aca="false">S103*Assumptions!$B$9</f>
        <v>0</v>
      </c>
      <c r="AA103" s="17" t="n">
        <f aca="false">Q103*Assumptions!$B$13*Assumptions!$B$14*8760/1000</f>
        <v>0</v>
      </c>
      <c r="AB103" s="17" t="n">
        <f aca="false">Q103*Assumptions!$B$13*8760*1000*Assumptions!$B$15/1233481.8</f>
        <v>0</v>
      </c>
    </row>
    <row r="104" customFormat="false" ht="15" hidden="false" customHeight="false" outlineLevel="0" collapsed="false">
      <c r="A104" s="2" t="s">
        <v>491</v>
      </c>
      <c r="B104" s="2" t="s">
        <v>492</v>
      </c>
      <c r="C104" s="2" t="s">
        <v>407</v>
      </c>
      <c r="D104" s="2" t="s">
        <v>402</v>
      </c>
      <c r="E104" s="2" t="s">
        <v>127</v>
      </c>
      <c r="F104" s="2" t="s">
        <v>398</v>
      </c>
      <c r="G104" s="13" t="n">
        <v>25</v>
      </c>
      <c r="H104" s="13" t="s">
        <v>460</v>
      </c>
      <c r="I104" s="14" t="n">
        <v>0</v>
      </c>
      <c r="J104" s="13" t="n">
        <v>0</v>
      </c>
      <c r="K104" s="13" t="n">
        <v>0</v>
      </c>
      <c r="L104" s="13" t="n">
        <v>0</v>
      </c>
      <c r="M104" s="15" t="n">
        <v>0.007</v>
      </c>
      <c r="N104" s="15" t="n">
        <v>0.03</v>
      </c>
      <c r="O104" s="13" t="n">
        <v>11.66</v>
      </c>
      <c r="P104" s="16" t="n">
        <f aca="false">IF(H104="operating",I104*Facilities!$Z$118,0)</f>
        <v>0</v>
      </c>
      <c r="Q104" s="16" t="n">
        <f aca="false">IF(H104="operating",P104,IF(OR(H104="under construction",H104="approved/planned",H104="proposed"),I104,0))</f>
        <v>0</v>
      </c>
      <c r="R104" s="16" t="n">
        <f aca="false">Q104</f>
        <v>0</v>
      </c>
      <c r="S104" s="17" t="n">
        <f aca="false">IF(H104="cancelled/withdrawn",0,IF(K104&gt;0,K104,IF(AND(H104="operating",I104&gt;0,I104&lt;=2),MAX(3,Q104*IF(J104=1,Assumptions!$B$6,Assumptions!$B$7)),Q104*IF(J104=1,Assumptions!$B$6,Assumptions!$B$7))))</f>
        <v>0</v>
      </c>
      <c r="T104" s="17" t="n">
        <f aca="false">S104*Assumptions!$B$8</f>
        <v>0</v>
      </c>
      <c r="U104" s="17" t="n">
        <f aca="false">R104*Assumptions!$B$2/1000000*Assumptions!$B$4</f>
        <v>0</v>
      </c>
      <c r="V104" s="18" t="n">
        <f aca="false">R104*Assumptions!$B$2*Assumptions!$B$18*(Assumptions!$B$17+M104+N104)</f>
        <v>0</v>
      </c>
      <c r="W104" s="18" t="n">
        <f aca="false">Q104*Assumptions!$B$2*Assumptions!$B$10*Assumptions!$B$11*O104/100+Q104*Assumptions!$B$3*Assumptions!$B$12*Assumptions!$B$11*O104/100</f>
        <v>0</v>
      </c>
      <c r="X104" s="18" t="n">
        <f aca="false">S104*Assumptions!$B$9*Assumptions!$B$19</f>
        <v>0</v>
      </c>
      <c r="Y104" s="18" t="n">
        <f aca="false">W104+X104</f>
        <v>0</v>
      </c>
      <c r="Z104" s="18" t="n">
        <f aca="false">S104*Assumptions!$B$9</f>
        <v>0</v>
      </c>
      <c r="AA104" s="17" t="n">
        <f aca="false">Q104*Assumptions!$B$13*Assumptions!$B$14*8760/1000</f>
        <v>0</v>
      </c>
      <c r="AB104" s="17" t="n">
        <f aca="false">Q104*Assumptions!$B$13*8760*1000*Assumptions!$B$15/1233481.8</f>
        <v>0</v>
      </c>
    </row>
    <row r="105" customFormat="false" ht="15" hidden="false" customHeight="false" outlineLevel="0" collapsed="false">
      <c r="A105" s="2" t="s">
        <v>493</v>
      </c>
      <c r="B105" s="2" t="s">
        <v>494</v>
      </c>
      <c r="C105" s="2" t="s">
        <v>495</v>
      </c>
      <c r="D105" s="2" t="s">
        <v>408</v>
      </c>
      <c r="E105" s="2" t="s">
        <v>127</v>
      </c>
      <c r="F105" s="2" t="s">
        <v>398</v>
      </c>
      <c r="G105" s="13" t="n">
        <v>25</v>
      </c>
      <c r="H105" s="13" t="s">
        <v>460</v>
      </c>
      <c r="I105" s="14" t="n">
        <v>0</v>
      </c>
      <c r="J105" s="13" t="n">
        <v>0</v>
      </c>
      <c r="K105" s="13" t="n">
        <v>0</v>
      </c>
      <c r="L105" s="13" t="n">
        <v>0</v>
      </c>
      <c r="M105" s="15" t="n">
        <v>0.007</v>
      </c>
      <c r="N105" s="15" t="n">
        <v>0</v>
      </c>
      <c r="O105" s="13" t="n">
        <v>10.5</v>
      </c>
      <c r="P105" s="16" t="n">
        <f aca="false">IF(H105="operating",I105*Facilities!$Z$118,0)</f>
        <v>0</v>
      </c>
      <c r="Q105" s="16" t="n">
        <f aca="false">IF(H105="operating",P105,IF(OR(H105="under construction",H105="approved/planned",H105="proposed"),I105,0))</f>
        <v>0</v>
      </c>
      <c r="R105" s="16" t="n">
        <f aca="false">Q105</f>
        <v>0</v>
      </c>
      <c r="S105" s="17" t="n">
        <f aca="false">IF(H105="cancelled/withdrawn",0,IF(K105&gt;0,K105,IF(AND(H105="operating",I105&gt;0,I105&lt;=2),MAX(3,Q105*IF(J105=1,Assumptions!$B$6,Assumptions!$B$7)),Q105*IF(J105=1,Assumptions!$B$6,Assumptions!$B$7))))</f>
        <v>0</v>
      </c>
      <c r="T105" s="17" t="n">
        <f aca="false">S105*Assumptions!$B$8</f>
        <v>0</v>
      </c>
      <c r="U105" s="17" t="n">
        <f aca="false">R105*Assumptions!$B$2/1000000*Assumptions!$B$4</f>
        <v>0</v>
      </c>
      <c r="V105" s="18" t="n">
        <f aca="false">R105*Assumptions!$B$2*Assumptions!$B$18*(Assumptions!$B$17+M105+N105)</f>
        <v>0</v>
      </c>
      <c r="W105" s="18" t="n">
        <f aca="false">Q105*Assumptions!$B$2*Assumptions!$B$10*Assumptions!$B$11*O105/100+Q105*Assumptions!$B$3*Assumptions!$B$12*Assumptions!$B$11*O105/100</f>
        <v>0</v>
      </c>
      <c r="X105" s="18" t="n">
        <f aca="false">S105*Assumptions!$B$9*Assumptions!$B$19</f>
        <v>0</v>
      </c>
      <c r="Y105" s="18" t="n">
        <f aca="false">W105+X105</f>
        <v>0</v>
      </c>
      <c r="Z105" s="18" t="n">
        <f aca="false">S105*Assumptions!$B$9</f>
        <v>0</v>
      </c>
      <c r="AA105" s="17" t="n">
        <f aca="false">Q105*Assumptions!$B$13*Assumptions!$B$14*8760/1000</f>
        <v>0</v>
      </c>
      <c r="AB105" s="17" t="n">
        <f aca="false">Q105*Assumptions!$B$13*8760*1000*Assumptions!$B$15/1233481.8</f>
        <v>0</v>
      </c>
    </row>
    <row r="106" customFormat="false" ht="15" hidden="false" customHeight="false" outlineLevel="0" collapsed="false">
      <c r="A106" s="2" t="s">
        <v>496</v>
      </c>
      <c r="B106" s="2" t="s">
        <v>497</v>
      </c>
      <c r="C106" s="2" t="s">
        <v>498</v>
      </c>
      <c r="D106" s="2" t="s">
        <v>408</v>
      </c>
      <c r="E106" s="2" t="s">
        <v>127</v>
      </c>
      <c r="F106" s="2" t="s">
        <v>398</v>
      </c>
      <c r="G106" s="13" t="n">
        <v>25</v>
      </c>
      <c r="H106" s="13" t="s">
        <v>460</v>
      </c>
      <c r="I106" s="14" t="n">
        <v>0</v>
      </c>
      <c r="J106" s="13" t="n">
        <v>0</v>
      </c>
      <c r="K106" s="13" t="n">
        <v>0</v>
      </c>
      <c r="L106" s="13" t="n">
        <v>0</v>
      </c>
      <c r="M106" s="15" t="n">
        <v>0.007</v>
      </c>
      <c r="N106" s="15" t="n">
        <v>0</v>
      </c>
      <c r="O106" s="13" t="n">
        <v>10.5</v>
      </c>
      <c r="P106" s="16" t="n">
        <f aca="false">IF(H106="operating",I106*Facilities!$Z$118,0)</f>
        <v>0</v>
      </c>
      <c r="Q106" s="16" t="n">
        <f aca="false">IF(H106="operating",P106,IF(OR(H106="under construction",H106="approved/planned",H106="proposed"),I106,0))</f>
        <v>0</v>
      </c>
      <c r="R106" s="16" t="n">
        <f aca="false">Q106</f>
        <v>0</v>
      </c>
      <c r="S106" s="17" t="n">
        <f aca="false">IF(H106="cancelled/withdrawn",0,IF(K106&gt;0,K106,IF(AND(H106="operating",I106&gt;0,I106&lt;=2),MAX(3,Q106*IF(J106=1,Assumptions!$B$6,Assumptions!$B$7)),Q106*IF(J106=1,Assumptions!$B$6,Assumptions!$B$7))))</f>
        <v>0</v>
      </c>
      <c r="T106" s="17" t="n">
        <f aca="false">S106*Assumptions!$B$8</f>
        <v>0</v>
      </c>
      <c r="U106" s="17" t="n">
        <f aca="false">R106*Assumptions!$B$2/1000000*Assumptions!$B$4</f>
        <v>0</v>
      </c>
      <c r="V106" s="18" t="n">
        <f aca="false">R106*Assumptions!$B$2*Assumptions!$B$18*(Assumptions!$B$17+M106+N106)</f>
        <v>0</v>
      </c>
      <c r="W106" s="18" t="n">
        <f aca="false">Q106*Assumptions!$B$2*Assumptions!$B$10*Assumptions!$B$11*O106/100+Q106*Assumptions!$B$3*Assumptions!$B$12*Assumptions!$B$11*O106/100</f>
        <v>0</v>
      </c>
      <c r="X106" s="18" t="n">
        <f aca="false">S106*Assumptions!$B$9*Assumptions!$B$19</f>
        <v>0</v>
      </c>
      <c r="Y106" s="18" t="n">
        <f aca="false">W106+X106</f>
        <v>0</v>
      </c>
      <c r="Z106" s="18" t="n">
        <f aca="false">S106*Assumptions!$B$9</f>
        <v>0</v>
      </c>
      <c r="AA106" s="17" t="n">
        <f aca="false">Q106*Assumptions!$B$13*Assumptions!$B$14*8760/1000</f>
        <v>0</v>
      </c>
      <c r="AB106" s="17" t="n">
        <f aca="false">Q106*Assumptions!$B$13*8760*1000*Assumptions!$B$15/1233481.8</f>
        <v>0</v>
      </c>
    </row>
    <row r="107" customFormat="false" ht="15" hidden="false" customHeight="false" outlineLevel="0" collapsed="false">
      <c r="A107" s="2" t="s">
        <v>499</v>
      </c>
      <c r="B107" s="2" t="s">
        <v>500</v>
      </c>
      <c r="C107" s="2" t="s">
        <v>501</v>
      </c>
      <c r="D107" s="2" t="s">
        <v>402</v>
      </c>
      <c r="E107" s="2" t="s">
        <v>127</v>
      </c>
      <c r="F107" s="2" t="s">
        <v>398</v>
      </c>
      <c r="G107" s="13" t="n">
        <v>23</v>
      </c>
      <c r="H107" s="13" t="s">
        <v>460</v>
      </c>
      <c r="I107" s="14" t="n">
        <v>0</v>
      </c>
      <c r="J107" s="13" t="n">
        <v>0</v>
      </c>
      <c r="K107" s="13" t="n">
        <v>0</v>
      </c>
      <c r="L107" s="13" t="n">
        <v>0</v>
      </c>
      <c r="M107" s="15" t="n">
        <v>0.007</v>
      </c>
      <c r="N107" s="15" t="n">
        <v>0.03</v>
      </c>
      <c r="O107" s="13" t="n">
        <v>11.66</v>
      </c>
      <c r="P107" s="16" t="n">
        <f aca="false">IF(H107="operating",I107*Facilities!$Z$118,0)</f>
        <v>0</v>
      </c>
      <c r="Q107" s="16" t="n">
        <f aca="false">IF(H107="operating",P107,IF(OR(H107="under construction",H107="approved/planned",H107="proposed"),I107,0))</f>
        <v>0</v>
      </c>
      <c r="R107" s="16" t="n">
        <f aca="false">Q107</f>
        <v>0</v>
      </c>
      <c r="S107" s="17" t="n">
        <f aca="false">IF(H107="cancelled/withdrawn",0,IF(K107&gt;0,K107,IF(AND(H107="operating",I107&gt;0,I107&lt;=2),MAX(3,Q107*IF(J107=1,Assumptions!$B$6,Assumptions!$B$7)),Q107*IF(J107=1,Assumptions!$B$6,Assumptions!$B$7))))</f>
        <v>0</v>
      </c>
      <c r="T107" s="17" t="n">
        <f aca="false">S107*Assumptions!$B$8</f>
        <v>0</v>
      </c>
      <c r="U107" s="17" t="n">
        <f aca="false">R107*Assumptions!$B$2/1000000*Assumptions!$B$4</f>
        <v>0</v>
      </c>
      <c r="V107" s="18" t="n">
        <f aca="false">R107*Assumptions!$B$2*Assumptions!$B$18*(Assumptions!$B$17+M107+N107)</f>
        <v>0</v>
      </c>
      <c r="W107" s="18" t="n">
        <f aca="false">Q107*Assumptions!$B$2*Assumptions!$B$10*Assumptions!$B$11*O107/100+Q107*Assumptions!$B$3*Assumptions!$B$12*Assumptions!$B$11*O107/100</f>
        <v>0</v>
      </c>
      <c r="X107" s="18" t="n">
        <f aca="false">S107*Assumptions!$B$9*Assumptions!$B$19</f>
        <v>0</v>
      </c>
      <c r="Y107" s="18" t="n">
        <f aca="false">W107+X107</f>
        <v>0</v>
      </c>
      <c r="Z107" s="18" t="n">
        <f aca="false">S107*Assumptions!$B$9</f>
        <v>0</v>
      </c>
      <c r="AA107" s="17" t="n">
        <f aca="false">Q107*Assumptions!$B$13*Assumptions!$B$14*8760/1000</f>
        <v>0</v>
      </c>
      <c r="AB107" s="17" t="n">
        <f aca="false">Q107*Assumptions!$B$13*8760*1000*Assumptions!$B$15/1233481.8</f>
        <v>0</v>
      </c>
    </row>
    <row r="108" customFormat="false" ht="15" hidden="false" customHeight="false" outlineLevel="0" collapsed="false">
      <c r="A108" s="2" t="s">
        <v>502</v>
      </c>
      <c r="B108" s="2" t="s">
        <v>503</v>
      </c>
      <c r="C108" s="2" t="s">
        <v>504</v>
      </c>
      <c r="D108" s="2"/>
      <c r="E108" s="2" t="s">
        <v>417</v>
      </c>
      <c r="F108" s="2" t="s">
        <v>398</v>
      </c>
      <c r="G108" s="13" t="n">
        <v>16</v>
      </c>
      <c r="H108" s="13" t="s">
        <v>460</v>
      </c>
      <c r="I108" s="14" t="n">
        <v>0</v>
      </c>
      <c r="J108" s="13" t="n">
        <v>0</v>
      </c>
      <c r="K108" s="13" t="n">
        <v>0</v>
      </c>
      <c r="L108" s="13" t="n">
        <v>0</v>
      </c>
      <c r="M108" s="15" t="n">
        <v>0.011</v>
      </c>
      <c r="N108" s="15" t="n">
        <v>0</v>
      </c>
      <c r="O108" s="13" t="n">
        <v>10.5</v>
      </c>
      <c r="P108" s="16" t="n">
        <f aca="false">IF(H108="operating",I108*Facilities!$Z$118,0)</f>
        <v>0</v>
      </c>
      <c r="Q108" s="16" t="n">
        <f aca="false">IF(H108="operating",P108,IF(OR(H108="under construction",H108="approved/planned",H108="proposed"),I108,0))</f>
        <v>0</v>
      </c>
      <c r="R108" s="16" t="n">
        <f aca="false">Q108</f>
        <v>0</v>
      </c>
      <c r="S108" s="17" t="n">
        <f aca="false">IF(H108="cancelled/withdrawn",0,IF(K108&gt;0,K108,IF(AND(H108="operating",I108&gt;0,I108&lt;=2),MAX(3,Q108*IF(J108=1,Assumptions!$B$6,Assumptions!$B$7)),Q108*IF(J108=1,Assumptions!$B$6,Assumptions!$B$7))))</f>
        <v>0</v>
      </c>
      <c r="T108" s="17" t="n">
        <f aca="false">S108*Assumptions!$B$8</f>
        <v>0</v>
      </c>
      <c r="U108" s="17" t="n">
        <f aca="false">R108*Assumptions!$B$2/1000000*Assumptions!$B$4</f>
        <v>0</v>
      </c>
      <c r="V108" s="18" t="n">
        <f aca="false">R108*Assumptions!$B$2*Assumptions!$B$18*(Assumptions!$B$17+M108+N108)</f>
        <v>0</v>
      </c>
      <c r="W108" s="18" t="n">
        <f aca="false">Q108*Assumptions!$B$2*Assumptions!$B$10*Assumptions!$B$11*O108/100+Q108*Assumptions!$B$3*Assumptions!$B$12*Assumptions!$B$11*O108/100</f>
        <v>0</v>
      </c>
      <c r="X108" s="18" t="n">
        <f aca="false">S108*Assumptions!$B$9*Assumptions!$B$19</f>
        <v>0</v>
      </c>
      <c r="Y108" s="18" t="n">
        <f aca="false">W108+X108</f>
        <v>0</v>
      </c>
      <c r="Z108" s="18" t="n">
        <f aca="false">S108*Assumptions!$B$9</f>
        <v>0</v>
      </c>
      <c r="AA108" s="17" t="n">
        <f aca="false">Q108*Assumptions!$B$13*Assumptions!$B$14*8760/1000</f>
        <v>0</v>
      </c>
      <c r="AB108" s="17" t="n">
        <f aca="false">Q108*Assumptions!$B$13*8760*1000*Assumptions!$B$15/1233481.8</f>
        <v>0</v>
      </c>
    </row>
    <row r="109" customFormat="false" ht="15" hidden="false" customHeight="false" outlineLevel="0" collapsed="false">
      <c r="A109" s="2" t="s">
        <v>505</v>
      </c>
      <c r="B109" s="2" t="s">
        <v>506</v>
      </c>
      <c r="C109" s="2" t="s">
        <v>407</v>
      </c>
      <c r="D109" s="2" t="s">
        <v>443</v>
      </c>
      <c r="E109" s="2" t="s">
        <v>417</v>
      </c>
      <c r="F109" s="2" t="s">
        <v>398</v>
      </c>
      <c r="G109" s="13" t="n">
        <v>16</v>
      </c>
      <c r="H109" s="13" t="s">
        <v>460</v>
      </c>
      <c r="I109" s="14" t="n">
        <v>0</v>
      </c>
      <c r="J109" s="13" t="n">
        <v>0</v>
      </c>
      <c r="K109" s="13" t="n">
        <v>0</v>
      </c>
      <c r="L109" s="13" t="n">
        <v>0</v>
      </c>
      <c r="M109" s="15" t="n">
        <v>0.011</v>
      </c>
      <c r="N109" s="15" t="n">
        <v>0.04</v>
      </c>
      <c r="O109" s="13" t="n">
        <v>10.5</v>
      </c>
      <c r="P109" s="16" t="n">
        <f aca="false">IF(H109="operating",I109*Facilities!$Z$118,0)</f>
        <v>0</v>
      </c>
      <c r="Q109" s="16" t="n">
        <f aca="false">IF(H109="operating",P109,IF(OR(H109="under construction",H109="approved/planned",H109="proposed"),I109,0))</f>
        <v>0</v>
      </c>
      <c r="R109" s="16" t="n">
        <f aca="false">Q109</f>
        <v>0</v>
      </c>
      <c r="S109" s="17" t="n">
        <f aca="false">IF(H109="cancelled/withdrawn",0,IF(K109&gt;0,K109,IF(AND(H109="operating",I109&gt;0,I109&lt;=2),MAX(3,Q109*IF(J109=1,Assumptions!$B$6,Assumptions!$B$7)),Q109*IF(J109=1,Assumptions!$B$6,Assumptions!$B$7))))</f>
        <v>0</v>
      </c>
      <c r="T109" s="17" t="n">
        <f aca="false">S109*Assumptions!$B$8</f>
        <v>0</v>
      </c>
      <c r="U109" s="17" t="n">
        <f aca="false">R109*Assumptions!$B$2/1000000*Assumptions!$B$4</f>
        <v>0</v>
      </c>
      <c r="V109" s="18" t="n">
        <f aca="false">R109*Assumptions!$B$2*Assumptions!$B$18*(Assumptions!$B$17+M109+N109)</f>
        <v>0</v>
      </c>
      <c r="W109" s="18" t="n">
        <f aca="false">Q109*Assumptions!$B$2*Assumptions!$B$10*Assumptions!$B$11*O109/100+Q109*Assumptions!$B$3*Assumptions!$B$12*Assumptions!$B$11*O109/100</f>
        <v>0</v>
      </c>
      <c r="X109" s="18" t="n">
        <f aca="false">S109*Assumptions!$B$9*Assumptions!$B$19</f>
        <v>0</v>
      </c>
      <c r="Y109" s="18" t="n">
        <f aca="false">W109+X109</f>
        <v>0</v>
      </c>
      <c r="Z109" s="18" t="n">
        <f aca="false">S109*Assumptions!$B$9</f>
        <v>0</v>
      </c>
      <c r="AA109" s="17" t="n">
        <f aca="false">Q109*Assumptions!$B$13*Assumptions!$B$14*8760/1000</f>
        <v>0</v>
      </c>
      <c r="AB109" s="17" t="n">
        <f aca="false">Q109*Assumptions!$B$13*8760*1000*Assumptions!$B$15/1233481.8</f>
        <v>0</v>
      </c>
    </row>
    <row r="110" customFormat="false" ht="15" hidden="false" customHeight="false" outlineLevel="0" collapsed="false">
      <c r="A110" s="2" t="s">
        <v>507</v>
      </c>
      <c r="B110" s="2" t="s">
        <v>508</v>
      </c>
      <c r="C110" s="2" t="s">
        <v>509</v>
      </c>
      <c r="D110" s="2" t="s">
        <v>510</v>
      </c>
      <c r="E110" s="2" t="s">
        <v>330</v>
      </c>
      <c r="F110" s="2" t="s">
        <v>398</v>
      </c>
      <c r="G110" s="13" t="n">
        <v>21</v>
      </c>
      <c r="H110" s="13" t="s">
        <v>460</v>
      </c>
      <c r="I110" s="14" t="n">
        <v>0</v>
      </c>
      <c r="J110" s="13" t="n">
        <v>0</v>
      </c>
      <c r="K110" s="13" t="n">
        <v>0</v>
      </c>
      <c r="L110" s="13" t="n">
        <v>0</v>
      </c>
      <c r="M110" s="15" t="n">
        <v>0.005</v>
      </c>
      <c r="N110" s="15" t="n">
        <v>0</v>
      </c>
      <c r="O110" s="13" t="n">
        <v>10.5</v>
      </c>
      <c r="P110" s="16" t="n">
        <f aca="false">IF(H110="operating",I110*Facilities!$Z$118,0)</f>
        <v>0</v>
      </c>
      <c r="Q110" s="16" t="n">
        <f aca="false">IF(H110="operating",P110,IF(OR(H110="under construction",H110="approved/planned",H110="proposed"),I110,0))</f>
        <v>0</v>
      </c>
      <c r="R110" s="16" t="n">
        <f aca="false">Q110</f>
        <v>0</v>
      </c>
      <c r="S110" s="17" t="n">
        <f aca="false">IF(H110="cancelled/withdrawn",0,IF(K110&gt;0,K110,IF(AND(H110="operating",I110&gt;0,I110&lt;=2),MAX(3,Q110*IF(J110=1,Assumptions!$B$6,Assumptions!$B$7)),Q110*IF(J110=1,Assumptions!$B$6,Assumptions!$B$7))))</f>
        <v>0</v>
      </c>
      <c r="T110" s="17" t="n">
        <f aca="false">S110*Assumptions!$B$8</f>
        <v>0</v>
      </c>
      <c r="U110" s="17" t="n">
        <f aca="false">R110*Assumptions!$B$2/1000000*Assumptions!$B$4</f>
        <v>0</v>
      </c>
      <c r="V110" s="18" t="n">
        <f aca="false">R110*Assumptions!$B$2*Assumptions!$B$18*(Assumptions!$B$17+M110+N110)</f>
        <v>0</v>
      </c>
      <c r="W110" s="18" t="n">
        <f aca="false">Q110*Assumptions!$B$2*Assumptions!$B$10*Assumptions!$B$11*O110/100+Q110*Assumptions!$B$3*Assumptions!$B$12*Assumptions!$B$11*O110/100</f>
        <v>0</v>
      </c>
      <c r="X110" s="18" t="n">
        <f aca="false">S110*Assumptions!$B$9*Assumptions!$B$19</f>
        <v>0</v>
      </c>
      <c r="Y110" s="18" t="n">
        <f aca="false">W110+X110</f>
        <v>0</v>
      </c>
      <c r="Z110" s="18" t="n">
        <f aca="false">S110*Assumptions!$B$9</f>
        <v>0</v>
      </c>
      <c r="AA110" s="17" t="n">
        <f aca="false">Q110*Assumptions!$B$13*Assumptions!$B$14*8760/1000</f>
        <v>0</v>
      </c>
      <c r="AB110" s="17" t="n">
        <f aca="false">Q110*Assumptions!$B$13*8760*1000*Assumptions!$B$15/1233481.8</f>
        <v>0</v>
      </c>
    </row>
    <row r="111" customFormat="false" ht="15" hidden="false" customHeight="false" outlineLevel="0" collapsed="false">
      <c r="A111" s="2" t="s">
        <v>511</v>
      </c>
      <c r="B111" s="2" t="s">
        <v>512</v>
      </c>
      <c r="C111" s="2" t="s">
        <v>401</v>
      </c>
      <c r="D111" s="2" t="s">
        <v>402</v>
      </c>
      <c r="E111" s="2" t="s">
        <v>127</v>
      </c>
      <c r="F111" s="2" t="s">
        <v>398</v>
      </c>
      <c r="G111" s="13" t="n">
        <v>25</v>
      </c>
      <c r="H111" s="13" t="s">
        <v>513</v>
      </c>
      <c r="I111" s="14" t="n">
        <v>0</v>
      </c>
      <c r="J111" s="13" t="n">
        <v>0</v>
      </c>
      <c r="K111" s="13" t="n">
        <v>0</v>
      </c>
      <c r="L111" s="13" t="n">
        <v>0</v>
      </c>
      <c r="M111" s="15" t="n">
        <v>0.007</v>
      </c>
      <c r="N111" s="15" t="n">
        <v>0.03</v>
      </c>
      <c r="O111" s="13" t="n">
        <v>11.66</v>
      </c>
      <c r="P111" s="16" t="n">
        <f aca="false">IF(H111="operating",I111*Facilities!$Z$118,0)</f>
        <v>0</v>
      </c>
      <c r="Q111" s="16" t="n">
        <f aca="false">IF(H111="operating",P111,IF(OR(H111="under construction",H111="approved/planned",H111="proposed"),I111,0))</f>
        <v>0</v>
      </c>
      <c r="R111" s="16" t="n">
        <f aca="false">Q111</f>
        <v>0</v>
      </c>
      <c r="S111" s="17" t="n">
        <f aca="false">IF(H111="cancelled/withdrawn",0,IF(K111&gt;0,K111,IF(AND(H111="operating",I111&gt;0,I111&lt;=2),MAX(3,Q111*IF(J111=1,Assumptions!$B$6,Assumptions!$B$7)),Q111*IF(J111=1,Assumptions!$B$6,Assumptions!$B$7))))</f>
        <v>0</v>
      </c>
      <c r="T111" s="17" t="n">
        <f aca="false">S111*Assumptions!$B$8</f>
        <v>0</v>
      </c>
      <c r="U111" s="17" t="n">
        <f aca="false">R111*Assumptions!$B$2/1000000*Assumptions!$B$4</f>
        <v>0</v>
      </c>
      <c r="V111" s="18" t="n">
        <f aca="false">R111*Assumptions!$B$2*Assumptions!$B$18*(Assumptions!$B$17+M111+N111)</f>
        <v>0</v>
      </c>
      <c r="W111" s="18" t="n">
        <f aca="false">Q111*Assumptions!$B$2*Assumptions!$B$10*Assumptions!$B$11*O111/100+Q111*Assumptions!$B$3*Assumptions!$B$12*Assumptions!$B$11*O111/100</f>
        <v>0</v>
      </c>
      <c r="X111" s="18" t="n">
        <f aca="false">S111*Assumptions!$B$9*Assumptions!$B$19</f>
        <v>0</v>
      </c>
      <c r="Y111" s="18" t="n">
        <f aca="false">W111+X111</f>
        <v>0</v>
      </c>
      <c r="Z111" s="18" t="n">
        <f aca="false">S111*Assumptions!$B$9</f>
        <v>0</v>
      </c>
      <c r="AA111" s="17" t="n">
        <f aca="false">Q111*Assumptions!$B$13*Assumptions!$B$14*8760/1000</f>
        <v>0</v>
      </c>
      <c r="AB111" s="17" t="n">
        <f aca="false">Q111*Assumptions!$B$13*8760*1000*Assumptions!$B$15/1233481.8</f>
        <v>0</v>
      </c>
    </row>
    <row r="112" customFormat="false" ht="15" hidden="false" customHeight="false" outlineLevel="0" collapsed="false">
      <c r="A112" s="2" t="s">
        <v>514</v>
      </c>
      <c r="B112" s="2" t="s">
        <v>515</v>
      </c>
      <c r="C112" s="2" t="s">
        <v>516</v>
      </c>
      <c r="D112" s="2" t="s">
        <v>517</v>
      </c>
      <c r="E112" s="2" t="s">
        <v>127</v>
      </c>
      <c r="F112" s="2" t="s">
        <v>398</v>
      </c>
      <c r="G112" s="13" t="n">
        <v>22</v>
      </c>
      <c r="H112" s="13" t="s">
        <v>513</v>
      </c>
      <c r="I112" s="14" t="n">
        <v>0</v>
      </c>
      <c r="J112" s="13" t="n">
        <v>0</v>
      </c>
      <c r="K112" s="13" t="n">
        <v>0</v>
      </c>
      <c r="L112" s="13" t="n">
        <v>0</v>
      </c>
      <c r="M112" s="15" t="n">
        <v>0.007</v>
      </c>
      <c r="N112" s="15" t="n">
        <v>0.028</v>
      </c>
      <c r="O112" s="13" t="n">
        <v>11</v>
      </c>
      <c r="P112" s="16" t="n">
        <f aca="false">IF(H112="operating",I112*Facilities!$Z$118,0)</f>
        <v>0</v>
      </c>
      <c r="Q112" s="16" t="n">
        <f aca="false">IF(H112="operating",P112,IF(OR(H112="under construction",H112="approved/planned",H112="proposed"),I112,0))</f>
        <v>0</v>
      </c>
      <c r="R112" s="16" t="n">
        <f aca="false">Q112</f>
        <v>0</v>
      </c>
      <c r="S112" s="17" t="n">
        <f aca="false">IF(H112="cancelled/withdrawn",0,IF(K112&gt;0,K112,IF(AND(H112="operating",I112&gt;0,I112&lt;=2),MAX(3,Q112*IF(J112=1,Assumptions!$B$6,Assumptions!$B$7)),Q112*IF(J112=1,Assumptions!$B$6,Assumptions!$B$7))))</f>
        <v>0</v>
      </c>
      <c r="T112" s="17" t="n">
        <f aca="false">S112*Assumptions!$B$8</f>
        <v>0</v>
      </c>
      <c r="U112" s="17" t="n">
        <f aca="false">R112*Assumptions!$B$2/1000000*Assumptions!$B$4</f>
        <v>0</v>
      </c>
      <c r="V112" s="18" t="n">
        <f aca="false">R112*Assumptions!$B$2*Assumptions!$B$18*(Assumptions!$B$17+M112+N112)</f>
        <v>0</v>
      </c>
      <c r="W112" s="18" t="n">
        <f aca="false">Q112*Assumptions!$B$2*Assumptions!$B$10*Assumptions!$B$11*O112/100+Q112*Assumptions!$B$3*Assumptions!$B$12*Assumptions!$B$11*O112/100</f>
        <v>0</v>
      </c>
      <c r="X112" s="18" t="n">
        <f aca="false">S112*Assumptions!$B$9*Assumptions!$B$19</f>
        <v>0</v>
      </c>
      <c r="Y112" s="18" t="n">
        <f aca="false">W112+X112</f>
        <v>0</v>
      </c>
      <c r="Z112" s="18" t="n">
        <f aca="false">S112*Assumptions!$B$9</f>
        <v>0</v>
      </c>
      <c r="AA112" s="17" t="n">
        <f aca="false">Q112*Assumptions!$B$13*Assumptions!$B$14*8760/1000</f>
        <v>0</v>
      </c>
      <c r="AB112" s="17" t="n">
        <f aca="false">Q112*Assumptions!$B$13*8760*1000*Assumptions!$B$15/1233481.8</f>
        <v>0</v>
      </c>
    </row>
    <row r="113" customFormat="false" ht="15" hidden="false" customHeight="false" outlineLevel="0" collapsed="false">
      <c r="A113" s="2" t="s">
        <v>518</v>
      </c>
      <c r="B113" s="2" t="s">
        <v>519</v>
      </c>
      <c r="C113" s="2" t="s">
        <v>520</v>
      </c>
      <c r="D113" s="2" t="s">
        <v>168</v>
      </c>
      <c r="E113" s="2" t="s">
        <v>127</v>
      </c>
      <c r="F113" s="2" t="s">
        <v>398</v>
      </c>
      <c r="G113" s="13" t="n">
        <v>13</v>
      </c>
      <c r="H113" s="13" t="s">
        <v>513</v>
      </c>
      <c r="I113" s="14" t="n">
        <v>0</v>
      </c>
      <c r="J113" s="13" t="n">
        <v>0</v>
      </c>
      <c r="K113" s="13" t="n">
        <v>0</v>
      </c>
      <c r="L113" s="13" t="n">
        <v>0</v>
      </c>
      <c r="M113" s="15" t="n">
        <v>0.007</v>
      </c>
      <c r="N113" s="15" t="n">
        <v>0.015</v>
      </c>
      <c r="O113" s="13" t="n">
        <v>9.37</v>
      </c>
      <c r="P113" s="16" t="n">
        <f aca="false">IF(H113="operating",I113*Facilities!$Z$118,0)</f>
        <v>0</v>
      </c>
      <c r="Q113" s="16" t="n">
        <f aca="false">IF(H113="operating",P113,IF(OR(H113="under construction",H113="approved/planned",H113="proposed"),I113,0))</f>
        <v>0</v>
      </c>
      <c r="R113" s="16" t="n">
        <f aca="false">Q113</f>
        <v>0</v>
      </c>
      <c r="S113" s="17" t="n">
        <f aca="false">IF(H113="cancelled/withdrawn",0,IF(K113&gt;0,K113,IF(AND(H113="operating",I113&gt;0,I113&lt;=2),MAX(3,Q113*IF(J113=1,Assumptions!$B$6,Assumptions!$B$7)),Q113*IF(J113=1,Assumptions!$B$6,Assumptions!$B$7))))</f>
        <v>0</v>
      </c>
      <c r="T113" s="17" t="n">
        <f aca="false">S113*Assumptions!$B$8</f>
        <v>0</v>
      </c>
      <c r="U113" s="17" t="n">
        <f aca="false">R113*Assumptions!$B$2/1000000*Assumptions!$B$4</f>
        <v>0</v>
      </c>
      <c r="V113" s="18" t="n">
        <f aca="false">R113*Assumptions!$B$2*Assumptions!$B$18*(Assumptions!$B$17+M113+N113)</f>
        <v>0</v>
      </c>
      <c r="W113" s="18" t="n">
        <f aca="false">Q113*Assumptions!$B$2*Assumptions!$B$10*Assumptions!$B$11*O113/100+Q113*Assumptions!$B$3*Assumptions!$B$12*Assumptions!$B$11*O113/100</f>
        <v>0</v>
      </c>
      <c r="X113" s="18" t="n">
        <f aca="false">S113*Assumptions!$B$9*Assumptions!$B$19</f>
        <v>0</v>
      </c>
      <c r="Y113" s="18" t="n">
        <f aca="false">W113+X113</f>
        <v>0</v>
      </c>
      <c r="Z113" s="18" t="n">
        <f aca="false">S113*Assumptions!$B$9</f>
        <v>0</v>
      </c>
      <c r="AA113" s="17" t="n">
        <f aca="false">Q113*Assumptions!$B$13*Assumptions!$B$14*8760/1000</f>
        <v>0</v>
      </c>
      <c r="AB113" s="17" t="n">
        <f aca="false">Q113*Assumptions!$B$13*8760*1000*Assumptions!$B$15/1233481.8</f>
        <v>0</v>
      </c>
    </row>
    <row r="114" customFormat="false" ht="15" hidden="false" customHeight="false" outlineLevel="0" collapsed="false">
      <c r="A114" s="2" t="s">
        <v>521</v>
      </c>
      <c r="B114" s="2" t="s">
        <v>522</v>
      </c>
      <c r="C114" s="2" t="s">
        <v>523</v>
      </c>
      <c r="D114" s="2" t="s">
        <v>473</v>
      </c>
      <c r="E114" s="2" t="s">
        <v>417</v>
      </c>
      <c r="F114" s="2" t="s">
        <v>398</v>
      </c>
      <c r="G114" s="13" t="n">
        <v>16</v>
      </c>
      <c r="H114" s="13" t="s">
        <v>513</v>
      </c>
      <c r="I114" s="14" t="n">
        <v>0</v>
      </c>
      <c r="J114" s="13" t="n">
        <v>0</v>
      </c>
      <c r="K114" s="13" t="n">
        <v>0</v>
      </c>
      <c r="L114" s="13" t="n">
        <v>0</v>
      </c>
      <c r="M114" s="15" t="n">
        <v>0.011</v>
      </c>
      <c r="N114" s="15" t="n">
        <v>0.045</v>
      </c>
      <c r="O114" s="13" t="n">
        <v>10.5</v>
      </c>
      <c r="P114" s="16" t="n">
        <f aca="false">IF(H114="operating",I114*Facilities!$Z$118,0)</f>
        <v>0</v>
      </c>
      <c r="Q114" s="16" t="n">
        <f aca="false">IF(H114="operating",P114,IF(OR(H114="under construction",H114="approved/planned",H114="proposed"),I114,0))</f>
        <v>0</v>
      </c>
      <c r="R114" s="16" t="n">
        <f aca="false">Q114</f>
        <v>0</v>
      </c>
      <c r="S114" s="17" t="n">
        <f aca="false">IF(H114="cancelled/withdrawn",0,IF(K114&gt;0,K114,IF(AND(H114="operating",I114&gt;0,I114&lt;=2),MAX(3,Q114*IF(J114=1,Assumptions!$B$6,Assumptions!$B$7)),Q114*IF(J114=1,Assumptions!$B$6,Assumptions!$B$7))))</f>
        <v>0</v>
      </c>
      <c r="T114" s="17" t="n">
        <f aca="false">S114*Assumptions!$B$8</f>
        <v>0</v>
      </c>
      <c r="U114" s="17" t="n">
        <f aca="false">R114*Assumptions!$B$2/1000000*Assumptions!$B$4</f>
        <v>0</v>
      </c>
      <c r="V114" s="18" t="n">
        <f aca="false">R114*Assumptions!$B$2*Assumptions!$B$18*(Assumptions!$B$17+M114+N114)</f>
        <v>0</v>
      </c>
      <c r="W114" s="18" t="n">
        <f aca="false">Q114*Assumptions!$B$2*Assumptions!$B$10*Assumptions!$B$11*O114/100+Q114*Assumptions!$B$3*Assumptions!$B$12*Assumptions!$B$11*O114/100</f>
        <v>0</v>
      </c>
      <c r="X114" s="18" t="n">
        <f aca="false">S114*Assumptions!$B$9*Assumptions!$B$19</f>
        <v>0</v>
      </c>
      <c r="Y114" s="18" t="n">
        <f aca="false">W114+X114</f>
        <v>0</v>
      </c>
      <c r="Z114" s="18" t="n">
        <f aca="false">S114*Assumptions!$B$9</f>
        <v>0</v>
      </c>
      <c r="AA114" s="17" t="n">
        <f aca="false">Q114*Assumptions!$B$13*Assumptions!$B$14*8760/1000</f>
        <v>0</v>
      </c>
      <c r="AB114" s="17" t="n">
        <f aca="false">Q114*Assumptions!$B$13*8760*1000*Assumptions!$B$15/1233481.8</f>
        <v>0</v>
      </c>
    </row>
    <row r="115" customFormat="false" ht="15" hidden="false" customHeight="false" outlineLevel="0" collapsed="false">
      <c r="A115" s="2" t="s">
        <v>524</v>
      </c>
      <c r="B115" s="2" t="s">
        <v>525</v>
      </c>
      <c r="C115" s="2" t="s">
        <v>526</v>
      </c>
      <c r="D115" s="2" t="s">
        <v>527</v>
      </c>
      <c r="E115" s="2" t="s">
        <v>458</v>
      </c>
      <c r="F115" s="2" t="s">
        <v>528</v>
      </c>
      <c r="G115" s="13" t="n">
        <v>30</v>
      </c>
      <c r="H115" s="13" t="s">
        <v>513</v>
      </c>
      <c r="I115" s="14" t="n">
        <v>0</v>
      </c>
      <c r="J115" s="13" t="n">
        <v>0</v>
      </c>
      <c r="K115" s="13" t="n">
        <v>0</v>
      </c>
      <c r="L115" s="13" t="n">
        <v>0</v>
      </c>
      <c r="M115" s="15" t="n">
        <v>0.005</v>
      </c>
      <c r="N115" s="15" t="n">
        <v>0</v>
      </c>
      <c r="O115" s="13" t="n">
        <v>10.5</v>
      </c>
      <c r="P115" s="16" t="n">
        <f aca="false">IF(H115="operating",I115*Facilities!$Z$118,0)</f>
        <v>0</v>
      </c>
      <c r="Q115" s="16" t="n">
        <f aca="false">IF(H115="operating",P115,IF(OR(H115="under construction",H115="approved/planned",H115="proposed"),I115,0))</f>
        <v>0</v>
      </c>
      <c r="R115" s="16" t="n">
        <f aca="false">Q115</f>
        <v>0</v>
      </c>
      <c r="S115" s="17" t="n">
        <f aca="false">IF(H115="cancelled/withdrawn",0,IF(K115&gt;0,K115,IF(AND(H115="operating",I115&gt;0,I115&lt;=2),MAX(3,Q115*IF(J115=1,Assumptions!$B$6,Assumptions!$B$7)),Q115*IF(J115=1,Assumptions!$B$6,Assumptions!$B$7))))</f>
        <v>0</v>
      </c>
      <c r="T115" s="17" t="n">
        <f aca="false">S115*Assumptions!$B$8</f>
        <v>0</v>
      </c>
      <c r="U115" s="17" t="n">
        <f aca="false">R115*Assumptions!$B$2/1000000*Assumptions!$B$4</f>
        <v>0</v>
      </c>
      <c r="V115" s="18" t="n">
        <f aca="false">R115*Assumptions!$B$2*Assumptions!$B$18*(Assumptions!$B$17+M115+N115)</f>
        <v>0</v>
      </c>
      <c r="W115" s="18" t="n">
        <f aca="false">Q115*Assumptions!$B$2*Assumptions!$B$10*Assumptions!$B$11*O115/100+Q115*Assumptions!$B$3*Assumptions!$B$12*Assumptions!$B$11*O115/100</f>
        <v>0</v>
      </c>
      <c r="X115" s="18" t="n">
        <f aca="false">S115*Assumptions!$B$9*Assumptions!$B$19</f>
        <v>0</v>
      </c>
      <c r="Y115" s="18" t="n">
        <f aca="false">W115+X115</f>
        <v>0</v>
      </c>
      <c r="Z115" s="18" t="n">
        <f aca="false">S115*Assumptions!$B$9</f>
        <v>0</v>
      </c>
      <c r="AA115" s="17" t="n">
        <f aca="false">Q115*Assumptions!$B$13*Assumptions!$B$14*8760/1000</f>
        <v>0</v>
      </c>
      <c r="AB115" s="17" t="n">
        <f aca="false">Q115*Assumptions!$B$13*8760*1000*Assumptions!$B$15/1233481.8</f>
        <v>0</v>
      </c>
    </row>
    <row r="116" customFormat="false" ht="15" hidden="false" customHeight="false" outlineLevel="0" collapsed="false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</row>
    <row r="117" customFormat="false" ht="15" hidden="false" customHeight="false" outlineLevel="0" collapsed="false">
      <c r="A117" s="19"/>
      <c r="B117" s="3" t="s">
        <v>529</v>
      </c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</row>
    <row r="118" customFormat="false" ht="15" hidden="false" customHeight="false" outlineLevel="0" collapsed="false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3" t="s">
        <v>530</v>
      </c>
      <c r="Z118" s="20" t="n">
        <f aca="false">Assumptions!$B$16/SUMIFS($I$2:$I$115,$H$2:$H$115,"operating")</f>
        <v>0.332943050091282</v>
      </c>
      <c r="AA118" s="19"/>
      <c r="AB118" s="19"/>
    </row>
    <row r="119" customFormat="false" ht="15" hidden="false" customHeight="false" outlineLevel="0" collapsed="false">
      <c r="A119" s="19"/>
      <c r="B119" s="21" t="n">
        <f aca="false">COUNTIFS($H$2:$H$115,H119)</f>
        <v>67</v>
      </c>
      <c r="C119" s="19"/>
      <c r="D119" s="19"/>
      <c r="E119" s="19"/>
      <c r="F119" s="19"/>
      <c r="G119" s="19"/>
      <c r="H119" s="3" t="s">
        <v>129</v>
      </c>
      <c r="I119" s="22" t="n">
        <f aca="false">SUMIFS(I$2:I$115,$H$2:$H$115,$H119)</f>
        <v>3604.22</v>
      </c>
      <c r="J119" s="19"/>
      <c r="K119" s="19"/>
      <c r="L119" s="19"/>
      <c r="M119" s="19"/>
      <c r="N119" s="19"/>
      <c r="O119" s="19"/>
      <c r="P119" s="22" t="n">
        <f aca="false">SUMIFS(P$2:P$115,$H$2:$H$115,$H119)</f>
        <v>1200</v>
      </c>
      <c r="Q119" s="22" t="n">
        <f aca="false">SUMIFS(Q$2:Q$115,$H$2:$H$115,$H119)</f>
        <v>1200</v>
      </c>
      <c r="R119" s="22" t="n">
        <f aca="false">SUMIFS(R$2:R$115,$H$2:$H$115,$H119)</f>
        <v>1200</v>
      </c>
      <c r="S119" s="22" t="n">
        <f aca="false">SUMIFS(S$2:S$115,$H$2:$H$115,$H119)</f>
        <v>1963.18021652396</v>
      </c>
      <c r="T119" s="22" t="n">
        <f aca="false">SUMIFS(T$2:T$115,$H$2:$H$115,$H119)</f>
        <v>3710.41060923029</v>
      </c>
      <c r="U119" s="22" t="n">
        <f aca="false">SUMIFS(U$2:U$115,$H$2:$H$115,$H119)</f>
        <v>33900</v>
      </c>
      <c r="V119" s="23" t="n">
        <f aca="false">SUMIFS(V$2:V$115,$H$2:$H$115,$H119)</f>
        <v>782839670.74152</v>
      </c>
      <c r="W119" s="23" t="n">
        <f aca="false">SUMIFS(W$2:W$115,$H$2:$H$115,$H119)</f>
        <v>80492685.8582439</v>
      </c>
      <c r="X119" s="23" t="n">
        <f aca="false">SUMIFS(X$2:X$115,$H$2:$H$115,$H119)</f>
        <v>4907950.54130991</v>
      </c>
      <c r="Y119" s="23" t="n">
        <f aca="false">SUMIFS(Y$2:Y$115,$H$2:$H$115,$H119)</f>
        <v>85400636.3995539</v>
      </c>
      <c r="Z119" s="23" t="n">
        <f aca="false">SUMIFS(Z$2:Z$115,$H$2:$H$115,$H119)</f>
        <v>196318021.652396</v>
      </c>
      <c r="AA119" s="22" t="n">
        <f aca="false">SUMIFS(AA$2:AA$115,$H$2:$H$115,$H119)</f>
        <v>10249.2</v>
      </c>
      <c r="AB119" s="22" t="n">
        <f aca="false">SUMIFS(AB$2:AB$115,$H$2:$H$115,$H119)</f>
        <v>3834.99780864217</v>
      </c>
    </row>
    <row r="120" customFormat="false" ht="15" hidden="false" customHeight="false" outlineLevel="0" collapsed="false">
      <c r="A120" s="19"/>
      <c r="B120" s="21" t="n">
        <f aca="false">COUNTIFS($H$2:$H$115,H120)</f>
        <v>10</v>
      </c>
      <c r="C120" s="19"/>
      <c r="D120" s="19"/>
      <c r="E120" s="19"/>
      <c r="F120" s="19"/>
      <c r="G120" s="19"/>
      <c r="H120" s="3" t="s">
        <v>364</v>
      </c>
      <c r="I120" s="22" t="n">
        <f aca="false">SUMIFS(I$2:I$115,$H$2:$H$115,$H120)</f>
        <v>1905</v>
      </c>
      <c r="J120" s="19"/>
      <c r="K120" s="19"/>
      <c r="L120" s="19"/>
      <c r="M120" s="19"/>
      <c r="N120" s="19"/>
      <c r="O120" s="19"/>
      <c r="P120" s="22" t="n">
        <f aca="false">SUMIFS(P$2:P$115,$H$2:$H$115,$H120)</f>
        <v>0</v>
      </c>
      <c r="Q120" s="22" t="n">
        <f aca="false">SUMIFS(Q$2:Q$115,$H$2:$H$115,$H120)</f>
        <v>1905</v>
      </c>
      <c r="R120" s="22" t="n">
        <f aca="false">SUMIFS(R$2:R$115,$H$2:$H$115,$H120)</f>
        <v>1905</v>
      </c>
      <c r="S120" s="22" t="n">
        <f aca="false">SUMIFS(S$2:S$115,$H$2:$H$115,$H120)</f>
        <v>1933.6</v>
      </c>
      <c r="T120" s="22" t="n">
        <f aca="false">SUMIFS(T$2:T$115,$H$2:$H$115,$H120)</f>
        <v>3654.504</v>
      </c>
      <c r="U120" s="22" t="n">
        <f aca="false">SUMIFS(U$2:U$115,$H$2:$H$115,$H120)</f>
        <v>53816.25</v>
      </c>
      <c r="V120" s="23" t="n">
        <f aca="false">SUMIFS(V$2:V$115,$H$2:$H$115,$H120)</f>
        <v>1104416235</v>
      </c>
      <c r="W120" s="23" t="n">
        <f aca="false">SUMIFS(W$2:W$115,$H$2:$H$115,$H120)</f>
        <v>130281554.025</v>
      </c>
      <c r="X120" s="23" t="n">
        <f aca="false">SUMIFS(X$2:X$115,$H$2:$H$115,$H120)</f>
        <v>4834000</v>
      </c>
      <c r="Y120" s="23" t="n">
        <f aca="false">SUMIFS(Y$2:Y$115,$H$2:$H$115,$H120)</f>
        <v>135115554.025</v>
      </c>
      <c r="Z120" s="23" t="n">
        <f aca="false">SUMIFS(Z$2:Z$115,$H$2:$H$115,$H120)</f>
        <v>193360000</v>
      </c>
      <c r="AA120" s="22" t="n">
        <f aca="false">SUMIFS(AA$2:AA$115,$H$2:$H$115,$H120)</f>
        <v>16270.605</v>
      </c>
      <c r="AB120" s="22" t="n">
        <f aca="false">SUMIFS(AB$2:AB$115,$H$2:$H$115,$H120)</f>
        <v>6088.05902121945</v>
      </c>
    </row>
    <row r="121" customFormat="false" ht="15" hidden="false" customHeight="false" outlineLevel="0" collapsed="false">
      <c r="A121" s="19"/>
      <c r="B121" s="21" t="n">
        <f aca="false">COUNTIFS($H$2:$H$115,H121)</f>
        <v>15</v>
      </c>
      <c r="C121" s="19"/>
      <c r="D121" s="19"/>
      <c r="E121" s="19"/>
      <c r="F121" s="19"/>
      <c r="G121" s="19"/>
      <c r="H121" s="3" t="s">
        <v>404</v>
      </c>
      <c r="I121" s="22" t="n">
        <f aca="false">SUMIFS(I$2:I$115,$H$2:$H$115,$H121)</f>
        <v>4928</v>
      </c>
      <c r="J121" s="19"/>
      <c r="K121" s="19"/>
      <c r="L121" s="19"/>
      <c r="M121" s="19"/>
      <c r="N121" s="19"/>
      <c r="O121" s="19"/>
      <c r="P121" s="22" t="n">
        <f aca="false">SUMIFS(P$2:P$115,$H$2:$H$115,$H121)</f>
        <v>0</v>
      </c>
      <c r="Q121" s="22" t="n">
        <f aca="false">SUMIFS(Q$2:Q$115,$H$2:$H$115,$H121)</f>
        <v>4928</v>
      </c>
      <c r="R121" s="22" t="n">
        <f aca="false">SUMIFS(R$2:R$115,$H$2:$H$115,$H121)</f>
        <v>4928</v>
      </c>
      <c r="S121" s="22" t="n">
        <f aca="false">SUMIFS(S$2:S$115,$H$2:$H$115,$H121)</f>
        <v>4003</v>
      </c>
      <c r="T121" s="22" t="n">
        <f aca="false">SUMIFS(T$2:T$115,$H$2:$H$115,$H121)</f>
        <v>7565.67</v>
      </c>
      <c r="U121" s="22" t="n">
        <f aca="false">SUMIFS(U$2:U$115,$H$2:$H$115,$H121)</f>
        <v>139216</v>
      </c>
      <c r="V121" s="23" t="n">
        <f aca="false">SUMIFS(V$2:V$115,$H$2:$H$115,$H121)</f>
        <v>2997744230</v>
      </c>
      <c r="W121" s="23" t="n">
        <f aca="false">SUMIFS(W$2:W$115,$H$2:$H$115,$H121)</f>
        <v>347401467.14</v>
      </c>
      <c r="X121" s="23" t="n">
        <f aca="false">SUMIFS(X$2:X$115,$H$2:$H$115,$H121)</f>
        <v>10007500</v>
      </c>
      <c r="Y121" s="23" t="n">
        <f aca="false">SUMIFS(Y$2:Y$115,$H$2:$H$115,$H121)</f>
        <v>357408967.14</v>
      </c>
      <c r="Z121" s="23" t="n">
        <f aca="false">SUMIFS(Z$2:Z$115,$H$2:$H$115,$H121)</f>
        <v>400300000</v>
      </c>
      <c r="AA121" s="22" t="n">
        <f aca="false">SUMIFS(AA$2:AA$115,$H$2:$H$115,$H121)</f>
        <v>42090.048</v>
      </c>
      <c r="AB121" s="22" t="n">
        <f aca="false">SUMIFS(AB$2:AB$115,$H$2:$H$115,$H121)</f>
        <v>15749.0576674905</v>
      </c>
    </row>
    <row r="122" customFormat="false" ht="15" hidden="false" customHeight="false" outlineLevel="0" collapsed="false">
      <c r="A122" s="19"/>
      <c r="B122" s="21" t="n">
        <f aca="false">COUNTIFS($H$2:$H$115,H122)</f>
        <v>17</v>
      </c>
      <c r="C122" s="19"/>
      <c r="D122" s="19"/>
      <c r="E122" s="19"/>
      <c r="F122" s="19"/>
      <c r="G122" s="19"/>
      <c r="H122" s="3" t="s">
        <v>460</v>
      </c>
      <c r="I122" s="22" t="n">
        <f aca="false">SUMIFS(I$2:I$115,$H$2:$H$115,$H122)</f>
        <v>3708</v>
      </c>
      <c r="J122" s="19"/>
      <c r="K122" s="19"/>
      <c r="L122" s="19"/>
      <c r="M122" s="19"/>
      <c r="N122" s="19"/>
      <c r="O122" s="19"/>
      <c r="P122" s="22" t="n">
        <f aca="false">SUMIFS(P$2:P$115,$H$2:$H$115,$H122)</f>
        <v>0</v>
      </c>
      <c r="Q122" s="22" t="n">
        <f aca="false">SUMIFS(Q$2:Q$115,$H$2:$H$115,$H122)</f>
        <v>3708</v>
      </c>
      <c r="R122" s="22" t="n">
        <f aca="false">SUMIFS(R$2:R$115,$H$2:$H$115,$H122)</f>
        <v>3708</v>
      </c>
      <c r="S122" s="22" t="n">
        <f aca="false">SUMIFS(S$2:S$115,$H$2:$H$115,$H122)</f>
        <v>1902</v>
      </c>
      <c r="T122" s="22" t="n">
        <f aca="false">SUMIFS(T$2:T$115,$H$2:$H$115,$H122)</f>
        <v>3594.78</v>
      </c>
      <c r="U122" s="22" t="n">
        <f aca="false">SUMIFS(U$2:U$115,$H$2:$H$115,$H122)</f>
        <v>104751</v>
      </c>
      <c r="V122" s="23" t="n">
        <f aca="false">SUMIFS(V$2:V$115,$H$2:$H$115,$H122)</f>
        <v>2217191080</v>
      </c>
      <c r="W122" s="23" t="n">
        <f aca="false">SUMIFS(W$2:W$115,$H$2:$H$115,$H122)</f>
        <v>247025400.3</v>
      </c>
      <c r="X122" s="23" t="n">
        <f aca="false">SUMIFS(X$2:X$115,$H$2:$H$115,$H122)</f>
        <v>4755000</v>
      </c>
      <c r="Y122" s="23" t="n">
        <f aca="false">SUMIFS(Y$2:Y$115,$H$2:$H$115,$H122)</f>
        <v>251780400.3</v>
      </c>
      <c r="Z122" s="23" t="n">
        <f aca="false">SUMIFS(Z$2:Z$115,$H$2:$H$115,$H122)</f>
        <v>190200000</v>
      </c>
      <c r="AA122" s="22" t="n">
        <f aca="false">SUMIFS(AA$2:AA$115,$H$2:$H$115,$H122)</f>
        <v>31670.028</v>
      </c>
      <c r="AB122" s="22" t="n">
        <f aca="false">SUMIFS(AB$2:AB$115,$H$2:$H$115,$H122)</f>
        <v>11850.1432287043</v>
      </c>
    </row>
    <row r="123" customFormat="false" ht="15" hidden="false" customHeight="false" outlineLevel="0" collapsed="false">
      <c r="A123" s="19"/>
      <c r="B123" s="21" t="n">
        <f aca="false">COUNTIFS($H$2:$H$115,H123)</f>
        <v>5</v>
      </c>
      <c r="C123" s="19"/>
      <c r="D123" s="19"/>
      <c r="E123" s="19"/>
      <c r="F123" s="19"/>
      <c r="G123" s="19"/>
      <c r="H123" s="3" t="s">
        <v>513</v>
      </c>
      <c r="I123" s="22" t="n">
        <f aca="false">SUMIFS(I$2:I$115,$H$2:$H$115,$H123)</f>
        <v>0</v>
      </c>
      <c r="J123" s="19"/>
      <c r="K123" s="19"/>
      <c r="L123" s="19"/>
      <c r="M123" s="19"/>
      <c r="N123" s="19"/>
      <c r="O123" s="19"/>
      <c r="P123" s="22" t="n">
        <f aca="false">SUMIFS(P$2:P$115,$H$2:$H$115,$H123)</f>
        <v>0</v>
      </c>
      <c r="Q123" s="22" t="n">
        <f aca="false">SUMIFS(Q$2:Q$115,$H$2:$H$115,$H123)</f>
        <v>0</v>
      </c>
      <c r="R123" s="22" t="n">
        <f aca="false">SUMIFS(R$2:R$115,$H$2:$H$115,$H123)</f>
        <v>0</v>
      </c>
      <c r="S123" s="22" t="n">
        <f aca="false">SUMIFS(S$2:S$115,$H$2:$H$115,$H123)</f>
        <v>0</v>
      </c>
      <c r="T123" s="22" t="n">
        <f aca="false">SUMIFS(T$2:T$115,$H$2:$H$115,$H123)</f>
        <v>0</v>
      </c>
      <c r="U123" s="22" t="n">
        <f aca="false">SUMIFS(U$2:U$115,$H$2:$H$115,$H123)</f>
        <v>0</v>
      </c>
      <c r="V123" s="23" t="n">
        <f aca="false">SUMIFS(V$2:V$115,$H$2:$H$115,$H123)</f>
        <v>0</v>
      </c>
      <c r="W123" s="23" t="n">
        <f aca="false">SUMIFS(W$2:W$115,$H$2:$H$115,$H123)</f>
        <v>0</v>
      </c>
      <c r="X123" s="23" t="n">
        <f aca="false">SUMIFS(X$2:X$115,$H$2:$H$115,$H123)</f>
        <v>0</v>
      </c>
      <c r="Y123" s="23" t="n">
        <f aca="false">SUMIFS(Y$2:Y$115,$H$2:$H$115,$H123)</f>
        <v>0</v>
      </c>
      <c r="Z123" s="23" t="n">
        <f aca="false">SUMIFS(Z$2:Z$115,$H$2:$H$115,$H123)</f>
        <v>0</v>
      </c>
      <c r="AA123" s="22" t="n">
        <f aca="false">SUMIFS(AA$2:AA$115,$H$2:$H$115,$H123)</f>
        <v>0</v>
      </c>
      <c r="AB123" s="22" t="n">
        <f aca="false">SUMIFS(AB$2:AB$115,$H$2:$H$115,$H123)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3" min="2" style="0" width="12"/>
    <col collapsed="false" customWidth="true" hidden="false" outlineLevel="0" max="4" min="4" style="0" width="14"/>
    <col collapsed="false" customWidth="true" hidden="false" outlineLevel="0" max="5" min="5" style="0" width="11"/>
    <col collapsed="false" customWidth="true" hidden="false" outlineLevel="0" max="6" min="6" style="0" width="14"/>
    <col collapsed="false" customWidth="true" hidden="false" outlineLevel="0" max="7" min="7" style="0" width="13"/>
    <col collapsed="false" customWidth="true" hidden="false" outlineLevel="0" max="9" min="8" style="0" width="14"/>
    <col collapsed="false" customWidth="true" hidden="false" outlineLevel="0" max="10" min="10" style="0" width="16"/>
    <col collapsed="false" customWidth="true" hidden="false" outlineLevel="0" max="11" min="11" style="0" width="18"/>
    <col collapsed="false" customWidth="true" hidden="false" outlineLevel="0" max="12" min="12" style="0" width="16"/>
    <col collapsed="false" customWidth="true" hidden="false" outlineLevel="0" max="13" min="13" style="0" width="12"/>
    <col collapsed="false" customWidth="true" hidden="false" outlineLevel="0" max="14" min="14" style="0" width="26"/>
    <col collapsed="false" customWidth="true" hidden="false" outlineLevel="0" max="15" min="15" style="0" width="40"/>
  </cols>
  <sheetData>
    <row r="1" customFormat="false" ht="42" hidden="false" customHeight="true" outlineLevel="0" collapsed="false">
      <c r="A1" s="4" t="s">
        <v>531</v>
      </c>
      <c r="B1" s="4" t="s">
        <v>532</v>
      </c>
      <c r="C1" s="4" t="s">
        <v>533</v>
      </c>
      <c r="D1" s="4" t="s">
        <v>534</v>
      </c>
      <c r="E1" s="4" t="s">
        <v>535</v>
      </c>
      <c r="F1" s="4" t="s">
        <v>536</v>
      </c>
      <c r="G1" s="4" t="s">
        <v>537</v>
      </c>
      <c r="H1" s="4" t="s">
        <v>538</v>
      </c>
      <c r="I1" s="4" t="s">
        <v>539</v>
      </c>
      <c r="J1" s="4" t="s">
        <v>119</v>
      </c>
      <c r="K1" s="4" t="s">
        <v>540</v>
      </c>
      <c r="L1" s="4" t="s">
        <v>541</v>
      </c>
      <c r="M1" s="4" t="s">
        <v>542</v>
      </c>
      <c r="N1" s="4" t="s">
        <v>543</v>
      </c>
      <c r="O1" s="4" t="s">
        <v>544</v>
      </c>
    </row>
    <row r="2" customFormat="false" ht="15" hidden="false" customHeight="false" outlineLevel="0" collapsed="false">
      <c r="A2" s="13" t="n">
        <v>1</v>
      </c>
      <c r="B2" s="24" t="n">
        <f aca="false">COUNTIFS(Facilities!$G$2:$G$115,A2,Facilities!$H$2:$H$115,"operating")</f>
        <v>0</v>
      </c>
      <c r="C2" s="24" t="n">
        <f aca="false">COUNTIFS(Facilities!$G$2:$G$115,A2,Facilities!$H$2:$H$115,"under construction")</f>
        <v>0</v>
      </c>
      <c r="D2" s="24" t="n">
        <f aca="false">COUNTIFS(Facilities!$G$2:$G$115,A2,Facilities!$H$2:$H$115,"approved/planned")+COUNTIFS(Facilities!$G$2:$G$115,A2,Facilities!$H$2:$H$115,"proposed")</f>
        <v>0</v>
      </c>
      <c r="E2" s="24" t="n">
        <f aca="false">SUMIFS(Facilities!$P$2:$P$115,Facilities!$G$2:$G$115,A2)</f>
        <v>0</v>
      </c>
      <c r="F2" s="24" t="n">
        <f aca="false">SUMIFS(Facilities!$S$2:$S$115,Facilities!$G$2:$G$115,A2,Facilities!$H$2:$H$115,"operating")</f>
        <v>0</v>
      </c>
      <c r="G2" s="24" t="n">
        <f aca="false">Facilities!$T$119/30</f>
        <v>123.68035364101</v>
      </c>
      <c r="H2" s="24" t="n">
        <f aca="false">SUMIFS(Facilities!$U$2:$U$115,Facilities!$G$2:$G$115,A2,Facilities!$H$2:$H$115,"operating")</f>
        <v>0</v>
      </c>
      <c r="I2" s="24" t="n">
        <f aca="false">SUMIFS(Facilities!$U$2:$U$115,Facilities!$G$2:$G$115,A2,Facilities!$H$2:$H$115,"under construction")</f>
        <v>0</v>
      </c>
      <c r="J2" s="25" t="n">
        <f aca="false">SUMIFS(Facilities!$Y$2:$Y$115,Facilities!$G$2:$G$115,A2,Facilities!$H$2:$H$115,"operating")</f>
        <v>0</v>
      </c>
      <c r="K2" s="25" t="n">
        <f aca="false">SUMIFS(Facilities!$V$2:$V$115,Facilities!$G$2:$G$115,A2,Facilities!$H$2:$H$115,"under construction")</f>
        <v>0</v>
      </c>
      <c r="L2" s="24" t="n">
        <f aca="false">SUMIFS(Facilities!$S$2:$S$115,Facilities!$G$2:$G$115,A2,Facilities!$H$2:$H$115,"under construction")+SUMIFS(Facilities!$S$2:$S$115,Facilities!$G$2:$G$115,A2,Facilities!$H$2:$H$115,"approved/planned")+SUMIFS(Facilities!$S$2:$S$115,Facilities!$G$2:$G$115,A2,Facilities!$H$2:$H$115,"proposed")</f>
        <v>0</v>
      </c>
      <c r="M2" s="26" t="n">
        <f aca="false">(F2+G2)/(Assumptions!$B$20/30)*1000</f>
        <v>0.486686671852645</v>
      </c>
      <c r="N2" s="13" t="s">
        <v>545</v>
      </c>
      <c r="O2" s="13" t="s">
        <v>546</v>
      </c>
    </row>
    <row r="3" customFormat="false" ht="15" hidden="false" customHeight="false" outlineLevel="0" collapsed="false">
      <c r="A3" s="13" t="n">
        <v>2</v>
      </c>
      <c r="B3" s="24" t="n">
        <f aca="false">COUNTIFS(Facilities!$G$2:$G$115,A3,Facilities!$H$2:$H$115,"operating")</f>
        <v>2</v>
      </c>
      <c r="C3" s="24" t="n">
        <f aca="false">COUNTIFS(Facilities!$G$2:$G$115,A3,Facilities!$H$2:$H$115,"under construction")</f>
        <v>0</v>
      </c>
      <c r="D3" s="24" t="n">
        <f aca="false">COUNTIFS(Facilities!$G$2:$G$115,A3,Facilities!$H$2:$H$115,"approved/planned")+COUNTIFS(Facilities!$G$2:$G$115,A3,Facilities!$H$2:$H$115,"proposed")</f>
        <v>0</v>
      </c>
      <c r="E3" s="24" t="n">
        <f aca="false">SUMIFS(Facilities!$P$2:$P$115,Facilities!$G$2:$G$115,A3)</f>
        <v>61.601123127889</v>
      </c>
      <c r="F3" s="24" t="n">
        <f aca="false">SUMIFS(Facilities!$S$2:$S$115,Facilities!$G$2:$G$115,A3,Facilities!$H$2:$H$115,"operating")</f>
        <v>123.202246255778</v>
      </c>
      <c r="G3" s="24" t="n">
        <f aca="false">Facilities!$T$119/30</f>
        <v>123.68035364101</v>
      </c>
      <c r="H3" s="24" t="n">
        <f aca="false">SUMIFS(Facilities!$U$2:$U$115,Facilities!$G$2:$G$115,A3,Facilities!$H$2:$H$115,"operating")</f>
        <v>1740.23172836286</v>
      </c>
      <c r="I3" s="24" t="n">
        <f aca="false">SUMIFS(Facilities!$U$2:$U$115,Facilities!$G$2:$G$115,A3,Facilities!$H$2:$H$115,"under construction")</f>
        <v>0</v>
      </c>
      <c r="J3" s="25" t="n">
        <f aca="false">SUMIFS(Facilities!$Y$2:$Y$115,Facilities!$G$2:$G$115,A3,Facilities!$H$2:$H$115,"operating")</f>
        <v>4682501.57260101</v>
      </c>
      <c r="K3" s="25" t="n">
        <f aca="false">SUMIFS(Facilities!$V$2:$V$115,Facilities!$G$2:$G$115,A3,Facilities!$H$2:$H$115,"under construction")</f>
        <v>0</v>
      </c>
      <c r="L3" s="24" t="n">
        <f aca="false">SUMIFS(Facilities!$S$2:$S$115,Facilities!$G$2:$G$115,A3,Facilities!$H$2:$H$115,"under construction")+SUMIFS(Facilities!$S$2:$S$115,Facilities!$G$2:$G$115,A3,Facilities!$H$2:$H$115,"approved/planned")+SUMIFS(Facilities!$S$2:$S$115,Facilities!$G$2:$G$115,A3,Facilities!$H$2:$H$115,"proposed")</f>
        <v>0</v>
      </c>
      <c r="M3" s="26" t="n">
        <f aca="false">(F3+G3)/(Assumptions!$B$20/30)*1000</f>
        <v>0.97149197382514</v>
      </c>
      <c r="N3" s="13" t="s">
        <v>547</v>
      </c>
      <c r="O3" s="13" t="s">
        <v>548</v>
      </c>
    </row>
    <row r="4" customFormat="false" ht="15" hidden="false" customHeight="false" outlineLevel="0" collapsed="false">
      <c r="A4" s="13" t="n">
        <v>3</v>
      </c>
      <c r="B4" s="24" t="n">
        <f aca="false">COUNTIFS(Facilities!$G$2:$G$115,A4,Facilities!$H$2:$H$115,"operating")</f>
        <v>0</v>
      </c>
      <c r="C4" s="24" t="n">
        <f aca="false">COUNTIFS(Facilities!$G$2:$G$115,A4,Facilities!$H$2:$H$115,"under construction")</f>
        <v>0</v>
      </c>
      <c r="D4" s="24" t="n">
        <f aca="false">COUNTIFS(Facilities!$G$2:$G$115,A4,Facilities!$H$2:$H$115,"approved/planned")+COUNTIFS(Facilities!$G$2:$G$115,A4,Facilities!$H$2:$H$115,"proposed")</f>
        <v>0</v>
      </c>
      <c r="E4" s="24" t="n">
        <f aca="false">SUMIFS(Facilities!$P$2:$P$115,Facilities!$G$2:$G$115,A4)</f>
        <v>0</v>
      </c>
      <c r="F4" s="24" t="n">
        <f aca="false">SUMIFS(Facilities!$S$2:$S$115,Facilities!$G$2:$G$115,A4,Facilities!$H$2:$H$115,"operating")</f>
        <v>0</v>
      </c>
      <c r="G4" s="24" t="n">
        <f aca="false">Facilities!$T$119/30</f>
        <v>123.68035364101</v>
      </c>
      <c r="H4" s="24" t="n">
        <f aca="false">SUMIFS(Facilities!$U$2:$U$115,Facilities!$G$2:$G$115,A4,Facilities!$H$2:$H$115,"operating")</f>
        <v>0</v>
      </c>
      <c r="I4" s="24" t="n">
        <f aca="false">SUMIFS(Facilities!$U$2:$U$115,Facilities!$G$2:$G$115,A4,Facilities!$H$2:$H$115,"under construction")</f>
        <v>0</v>
      </c>
      <c r="J4" s="25" t="n">
        <f aca="false">SUMIFS(Facilities!$Y$2:$Y$115,Facilities!$G$2:$G$115,A4,Facilities!$H$2:$H$115,"operating")</f>
        <v>0</v>
      </c>
      <c r="K4" s="25" t="n">
        <f aca="false">SUMIFS(Facilities!$V$2:$V$115,Facilities!$G$2:$G$115,A4,Facilities!$H$2:$H$115,"under construction")</f>
        <v>0</v>
      </c>
      <c r="L4" s="24" t="n">
        <f aca="false">SUMIFS(Facilities!$S$2:$S$115,Facilities!$G$2:$G$115,A4,Facilities!$H$2:$H$115,"under construction")+SUMIFS(Facilities!$S$2:$S$115,Facilities!$G$2:$G$115,A4,Facilities!$H$2:$H$115,"approved/planned")+SUMIFS(Facilities!$S$2:$S$115,Facilities!$G$2:$G$115,A4,Facilities!$H$2:$H$115,"proposed")</f>
        <v>0</v>
      </c>
      <c r="M4" s="26" t="n">
        <f aca="false">(F4+G4)/(Assumptions!$B$20/30)*1000</f>
        <v>0.486686671852645</v>
      </c>
      <c r="N4" s="13" t="s">
        <v>549</v>
      </c>
      <c r="O4" s="13" t="s">
        <v>550</v>
      </c>
    </row>
    <row r="5" customFormat="false" ht="15" hidden="false" customHeight="false" outlineLevel="0" collapsed="false">
      <c r="A5" s="13" t="n">
        <v>4</v>
      </c>
      <c r="B5" s="24" t="n">
        <f aca="false">COUNTIFS(Facilities!$G$2:$G$115,A5,Facilities!$H$2:$H$115,"operating")</f>
        <v>1</v>
      </c>
      <c r="C5" s="24" t="n">
        <f aca="false">COUNTIFS(Facilities!$G$2:$G$115,A5,Facilities!$H$2:$H$115,"under construction")</f>
        <v>0</v>
      </c>
      <c r="D5" s="24" t="n">
        <f aca="false">COUNTIFS(Facilities!$G$2:$G$115,A5,Facilities!$H$2:$H$115,"approved/planned")+COUNTIFS(Facilities!$G$2:$G$115,A5,Facilities!$H$2:$H$115,"proposed")</f>
        <v>0</v>
      </c>
      <c r="E5" s="24" t="n">
        <f aca="false">SUMIFS(Facilities!$P$2:$P$115,Facilities!$G$2:$G$115,A5)</f>
        <v>1.93106969052944</v>
      </c>
      <c r="F5" s="24" t="n">
        <f aca="false">SUMIFS(Facilities!$S$2:$S$115,Facilities!$G$2:$G$115,A5,Facilities!$H$2:$H$115,"operating")</f>
        <v>3.86213938105887</v>
      </c>
      <c r="G5" s="24" t="n">
        <f aca="false">Facilities!$T$119/30</f>
        <v>123.68035364101</v>
      </c>
      <c r="H5" s="24" t="n">
        <f aca="false">SUMIFS(Facilities!$U$2:$U$115,Facilities!$G$2:$G$115,A5,Facilities!$H$2:$H$115,"operating")</f>
        <v>54.5527187574565</v>
      </c>
      <c r="I5" s="24" t="n">
        <f aca="false">SUMIFS(Facilities!$U$2:$U$115,Facilities!$G$2:$G$115,A5,Facilities!$H$2:$H$115,"under construction")</f>
        <v>0</v>
      </c>
      <c r="J5" s="25" t="n">
        <f aca="false">SUMIFS(Facilities!$Y$2:$Y$115,Facilities!$G$2:$G$115,A5,Facilities!$H$2:$H$115,"operating")</f>
        <v>140553.631576319</v>
      </c>
      <c r="K5" s="25" t="n">
        <f aca="false">SUMIFS(Facilities!$V$2:$V$115,Facilities!$G$2:$G$115,A5,Facilities!$H$2:$H$115,"under construction")</f>
        <v>0</v>
      </c>
      <c r="L5" s="24" t="n">
        <f aca="false">SUMIFS(Facilities!$S$2:$S$115,Facilities!$G$2:$G$115,A5,Facilities!$H$2:$H$115,"under construction")+SUMIFS(Facilities!$S$2:$S$115,Facilities!$G$2:$G$115,A5,Facilities!$H$2:$H$115,"approved/planned")+SUMIFS(Facilities!$S$2:$S$115,Facilities!$G$2:$G$115,A5,Facilities!$H$2:$H$115,"proposed")</f>
        <v>0</v>
      </c>
      <c r="M5" s="26" t="n">
        <f aca="false">(F5+G5)/(Assumptions!$B$20/30)*1000</f>
        <v>0.501884330221689</v>
      </c>
      <c r="N5" s="13" t="s">
        <v>551</v>
      </c>
      <c r="O5" s="13" t="s">
        <v>552</v>
      </c>
    </row>
    <row r="6" customFormat="false" ht="15" hidden="false" customHeight="false" outlineLevel="0" collapsed="false">
      <c r="A6" s="13" t="n">
        <v>5</v>
      </c>
      <c r="B6" s="24" t="n">
        <f aca="false">COUNTIFS(Facilities!$G$2:$G$115,A6,Facilities!$H$2:$H$115,"operating")</f>
        <v>1</v>
      </c>
      <c r="C6" s="24" t="n">
        <f aca="false">COUNTIFS(Facilities!$G$2:$G$115,A6,Facilities!$H$2:$H$115,"under construction")</f>
        <v>0</v>
      </c>
      <c r="D6" s="24" t="n">
        <f aca="false">COUNTIFS(Facilities!$G$2:$G$115,A6,Facilities!$H$2:$H$115,"approved/planned")+COUNTIFS(Facilities!$G$2:$G$115,A6,Facilities!$H$2:$H$115,"proposed")</f>
        <v>0</v>
      </c>
      <c r="E6" s="24" t="n">
        <f aca="false">SUMIFS(Facilities!$P$2:$P$115,Facilities!$G$2:$G$115,A6)</f>
        <v>10.654177602921</v>
      </c>
      <c r="F6" s="24" t="n">
        <f aca="false">SUMIFS(Facilities!$S$2:$S$115,Facilities!$G$2:$G$115,A6,Facilities!$H$2:$H$115,"operating")</f>
        <v>21.308355205842</v>
      </c>
      <c r="G6" s="24" t="n">
        <f aca="false">Facilities!$T$119/30</f>
        <v>123.68035364101</v>
      </c>
      <c r="H6" s="24" t="n">
        <f aca="false">SUMIFS(Facilities!$U$2:$U$115,Facilities!$G$2:$G$115,A6,Facilities!$H$2:$H$115,"operating")</f>
        <v>300.980517282519</v>
      </c>
      <c r="I6" s="24" t="n">
        <f aca="false">SUMIFS(Facilities!$U$2:$U$115,Facilities!$G$2:$G$115,A6,Facilities!$H$2:$H$115,"under construction")</f>
        <v>0</v>
      </c>
      <c r="J6" s="25" t="n">
        <f aca="false">SUMIFS(Facilities!$Y$2:$Y$115,Facilities!$G$2:$G$115,A6,Facilities!$H$2:$H$115,"operating")</f>
        <v>809858.665675236</v>
      </c>
      <c r="K6" s="25" t="n">
        <f aca="false">SUMIFS(Facilities!$V$2:$V$115,Facilities!$G$2:$G$115,A6,Facilities!$H$2:$H$115,"under construction")</f>
        <v>0</v>
      </c>
      <c r="L6" s="24" t="n">
        <f aca="false">SUMIFS(Facilities!$S$2:$S$115,Facilities!$G$2:$G$115,A6,Facilities!$H$2:$H$115,"under construction")+SUMIFS(Facilities!$S$2:$S$115,Facilities!$G$2:$G$115,A6,Facilities!$H$2:$H$115,"approved/planned")+SUMIFS(Facilities!$S$2:$S$115,Facilities!$G$2:$G$115,A6,Facilities!$H$2:$H$115,"proposed")</f>
        <v>0</v>
      </c>
      <c r="M6" s="26" t="n">
        <f aca="false">(F6+G6)/(Assumptions!$B$20/30)*1000</f>
        <v>0.570535821474956</v>
      </c>
      <c r="N6" s="13" t="s">
        <v>553</v>
      </c>
      <c r="O6" s="13" t="s">
        <v>554</v>
      </c>
    </row>
    <row r="7" customFormat="false" ht="15" hidden="false" customHeight="false" outlineLevel="0" collapsed="false">
      <c r="A7" s="13" t="n">
        <v>6</v>
      </c>
      <c r="B7" s="24" t="n">
        <f aca="false">COUNTIFS(Facilities!$G$2:$G$115,A7,Facilities!$H$2:$H$115,"operating")</f>
        <v>0</v>
      </c>
      <c r="C7" s="24" t="n">
        <f aca="false">COUNTIFS(Facilities!$G$2:$G$115,A7,Facilities!$H$2:$H$115,"under construction")</f>
        <v>0</v>
      </c>
      <c r="D7" s="24" t="n">
        <f aca="false">COUNTIFS(Facilities!$G$2:$G$115,A7,Facilities!$H$2:$H$115,"approved/planned")+COUNTIFS(Facilities!$G$2:$G$115,A7,Facilities!$H$2:$H$115,"proposed")</f>
        <v>1</v>
      </c>
      <c r="E7" s="24" t="n">
        <f aca="false">SUMIFS(Facilities!$P$2:$P$115,Facilities!$G$2:$G$115,A7)</f>
        <v>0</v>
      </c>
      <c r="F7" s="24" t="n">
        <f aca="false">SUMIFS(Facilities!$S$2:$S$115,Facilities!$G$2:$G$115,A7,Facilities!$H$2:$H$115,"operating")</f>
        <v>0</v>
      </c>
      <c r="G7" s="24" t="n">
        <f aca="false">Facilities!$T$119/30</f>
        <v>123.68035364101</v>
      </c>
      <c r="H7" s="24" t="n">
        <f aca="false">SUMIFS(Facilities!$U$2:$U$115,Facilities!$G$2:$G$115,A7,Facilities!$H$2:$H$115,"operating")</f>
        <v>0</v>
      </c>
      <c r="I7" s="24" t="n">
        <f aca="false">SUMIFS(Facilities!$U$2:$U$115,Facilities!$G$2:$G$115,A7,Facilities!$H$2:$H$115,"under construction")</f>
        <v>0</v>
      </c>
      <c r="J7" s="25" t="n">
        <f aca="false">SUMIFS(Facilities!$Y$2:$Y$115,Facilities!$G$2:$G$115,A7,Facilities!$H$2:$H$115,"operating")</f>
        <v>0</v>
      </c>
      <c r="K7" s="25" t="n">
        <f aca="false">SUMIFS(Facilities!$V$2:$V$115,Facilities!$G$2:$G$115,A7,Facilities!$H$2:$H$115,"under construction")</f>
        <v>0</v>
      </c>
      <c r="L7" s="24" t="n">
        <f aca="false">SUMIFS(Facilities!$S$2:$S$115,Facilities!$G$2:$G$115,A7,Facilities!$H$2:$H$115,"under construction")+SUMIFS(Facilities!$S$2:$S$115,Facilities!$G$2:$G$115,A7,Facilities!$H$2:$H$115,"approved/planned")+SUMIFS(Facilities!$S$2:$S$115,Facilities!$G$2:$G$115,A7,Facilities!$H$2:$H$115,"proposed")</f>
        <v>600</v>
      </c>
      <c r="M7" s="26" t="n">
        <f aca="false">(F7+G7)/(Assumptions!$B$20/30)*1000</f>
        <v>0.486686671852645</v>
      </c>
      <c r="N7" s="13" t="s">
        <v>555</v>
      </c>
      <c r="O7" s="13" t="s">
        <v>556</v>
      </c>
    </row>
    <row r="8" customFormat="false" ht="15" hidden="false" customHeight="false" outlineLevel="0" collapsed="false">
      <c r="A8" s="13" t="n">
        <v>7</v>
      </c>
      <c r="B8" s="24" t="n">
        <f aca="false">COUNTIFS(Facilities!$G$2:$G$115,A8,Facilities!$H$2:$H$115,"operating")</f>
        <v>0</v>
      </c>
      <c r="C8" s="24" t="n">
        <f aca="false">COUNTIFS(Facilities!$G$2:$G$115,A8,Facilities!$H$2:$H$115,"under construction")</f>
        <v>0</v>
      </c>
      <c r="D8" s="24" t="n">
        <f aca="false">COUNTIFS(Facilities!$G$2:$G$115,A8,Facilities!$H$2:$H$115,"approved/planned")+COUNTIFS(Facilities!$G$2:$G$115,A8,Facilities!$H$2:$H$115,"proposed")</f>
        <v>2</v>
      </c>
      <c r="E8" s="24" t="n">
        <f aca="false">SUMIFS(Facilities!$P$2:$P$115,Facilities!$G$2:$G$115,A8)</f>
        <v>0</v>
      </c>
      <c r="F8" s="24" t="n">
        <f aca="false">SUMIFS(Facilities!$S$2:$S$115,Facilities!$G$2:$G$115,A8,Facilities!$H$2:$H$115,"operating")</f>
        <v>0</v>
      </c>
      <c r="G8" s="24" t="n">
        <f aca="false">Facilities!$T$119/30</f>
        <v>123.68035364101</v>
      </c>
      <c r="H8" s="24" t="n">
        <f aca="false">SUMIFS(Facilities!$U$2:$U$115,Facilities!$G$2:$G$115,A8,Facilities!$H$2:$H$115,"operating")</f>
        <v>0</v>
      </c>
      <c r="I8" s="24" t="n">
        <f aca="false">SUMIFS(Facilities!$U$2:$U$115,Facilities!$G$2:$G$115,A8,Facilities!$H$2:$H$115,"under construction")</f>
        <v>0</v>
      </c>
      <c r="J8" s="25" t="n">
        <f aca="false">SUMIFS(Facilities!$Y$2:$Y$115,Facilities!$G$2:$G$115,A8,Facilities!$H$2:$H$115,"operating")</f>
        <v>0</v>
      </c>
      <c r="K8" s="25" t="n">
        <f aca="false">SUMIFS(Facilities!$V$2:$V$115,Facilities!$G$2:$G$115,A8,Facilities!$H$2:$H$115,"under construction")</f>
        <v>0</v>
      </c>
      <c r="L8" s="24" t="n">
        <f aca="false">SUMIFS(Facilities!$S$2:$S$115,Facilities!$G$2:$G$115,A8,Facilities!$H$2:$H$115,"under construction")+SUMIFS(Facilities!$S$2:$S$115,Facilities!$G$2:$G$115,A8,Facilities!$H$2:$H$115,"approved/planned")+SUMIFS(Facilities!$S$2:$S$115,Facilities!$G$2:$G$115,A8,Facilities!$H$2:$H$115,"proposed")</f>
        <v>432</v>
      </c>
      <c r="M8" s="26" t="n">
        <f aca="false">(F8+G8)/(Assumptions!$B$20/30)*1000</f>
        <v>0.486686671852645</v>
      </c>
      <c r="N8" s="13" t="s">
        <v>557</v>
      </c>
      <c r="O8" s="13" t="s">
        <v>558</v>
      </c>
    </row>
    <row r="9" customFormat="false" ht="15" hidden="false" customHeight="false" outlineLevel="0" collapsed="false">
      <c r="A9" s="13" t="n">
        <v>8</v>
      </c>
      <c r="B9" s="24" t="n">
        <f aca="false">COUNTIFS(Facilities!$G$2:$G$115,A9,Facilities!$H$2:$H$115,"operating")</f>
        <v>8</v>
      </c>
      <c r="C9" s="24" t="n">
        <f aca="false">COUNTIFS(Facilities!$G$2:$G$115,A9,Facilities!$H$2:$H$115,"under construction")</f>
        <v>1</v>
      </c>
      <c r="D9" s="24" t="n">
        <f aca="false">COUNTIFS(Facilities!$G$2:$G$115,A9,Facilities!$H$2:$H$115,"approved/planned")+COUNTIFS(Facilities!$G$2:$G$115,A9,Facilities!$H$2:$H$115,"proposed")</f>
        <v>0</v>
      </c>
      <c r="E9" s="24" t="n">
        <f aca="false">SUMIFS(Facilities!$P$2:$P$115,Facilities!$G$2:$G$115,A9)</f>
        <v>116.530067531949</v>
      </c>
      <c r="F9" s="24" t="n">
        <f aca="false">SUMIFS(Facilities!$S$2:$S$115,Facilities!$G$2:$G$115,A9,Facilities!$H$2:$H$115,"operating")</f>
        <v>241.401274062072</v>
      </c>
      <c r="G9" s="24" t="n">
        <f aca="false">Facilities!$T$119/30</f>
        <v>123.68035364101</v>
      </c>
      <c r="H9" s="24" t="n">
        <f aca="false">SUMIFS(Facilities!$U$2:$U$115,Facilities!$G$2:$G$115,A9,Facilities!$H$2:$H$115,"operating")</f>
        <v>3291.97440777755</v>
      </c>
      <c r="I9" s="24" t="n">
        <f aca="false">SUMIFS(Facilities!$U$2:$U$115,Facilities!$G$2:$G$115,A9,Facilities!$H$2:$H$115,"under construction")</f>
        <v>7062.5</v>
      </c>
      <c r="J9" s="25" t="n">
        <f aca="false">SUMIFS(Facilities!$Y$2:$Y$115,Facilities!$G$2:$G$115,A9,Facilities!$H$2:$H$115,"operating")</f>
        <v>8862561.52510113</v>
      </c>
      <c r="K9" s="25" t="n">
        <f aca="false">SUMIFS(Facilities!$V$2:$V$115,Facilities!$G$2:$G$115,A9,Facilities!$H$2:$H$115,"under construction")</f>
        <v>167098750</v>
      </c>
      <c r="L9" s="24" t="n">
        <f aca="false">SUMIFS(Facilities!$S$2:$S$115,Facilities!$G$2:$G$115,A9,Facilities!$H$2:$H$115,"under construction")+SUMIFS(Facilities!$S$2:$S$115,Facilities!$G$2:$G$115,A9,Facilities!$H$2:$H$115,"approved/planned")+SUMIFS(Facilities!$S$2:$S$115,Facilities!$G$2:$G$115,A9,Facilities!$H$2:$H$115,"proposed")</f>
        <v>150</v>
      </c>
      <c r="M9" s="26" t="n">
        <f aca="false">(F9+G9)/(Assumptions!$B$20/30)*1000</f>
        <v>1.43660942995917</v>
      </c>
      <c r="N9" s="13" t="s">
        <v>559</v>
      </c>
      <c r="O9" s="13" t="s">
        <v>560</v>
      </c>
    </row>
    <row r="10" customFormat="false" ht="15" hidden="false" customHeight="false" outlineLevel="0" collapsed="false">
      <c r="A10" s="13" t="n">
        <v>9</v>
      </c>
      <c r="B10" s="24" t="n">
        <f aca="false">COUNTIFS(Facilities!$G$2:$G$115,A10,Facilities!$H$2:$H$115,"operating")</f>
        <v>3</v>
      </c>
      <c r="C10" s="24" t="n">
        <f aca="false">COUNTIFS(Facilities!$G$2:$G$115,A10,Facilities!$H$2:$H$115,"under construction")</f>
        <v>0</v>
      </c>
      <c r="D10" s="24" t="n">
        <f aca="false">COUNTIFS(Facilities!$G$2:$G$115,A10,Facilities!$H$2:$H$115,"approved/planned")+COUNTIFS(Facilities!$G$2:$G$115,A10,Facilities!$H$2:$H$115,"proposed")</f>
        <v>1</v>
      </c>
      <c r="E10" s="24" t="n">
        <f aca="false">SUMIFS(Facilities!$P$2:$P$115,Facilities!$G$2:$G$115,A10)</f>
        <v>18.4117506700479</v>
      </c>
      <c r="F10" s="24" t="n">
        <f aca="false">SUMIFS(Facilities!$S$2:$S$115,Facilities!$G$2:$G$115,A10,Facilities!$H$2:$H$115,"operating")</f>
        <v>38.4917291397307</v>
      </c>
      <c r="G10" s="24" t="n">
        <f aca="false">Facilities!$T$119/30</f>
        <v>123.68035364101</v>
      </c>
      <c r="H10" s="24" t="n">
        <f aca="false">SUMIFS(Facilities!$U$2:$U$115,Facilities!$G$2:$G$115,A10,Facilities!$H$2:$H$115,"operating")</f>
        <v>520.131956428853</v>
      </c>
      <c r="I10" s="24" t="n">
        <f aca="false">SUMIFS(Facilities!$U$2:$U$115,Facilities!$G$2:$G$115,A10,Facilities!$H$2:$H$115,"under construction")</f>
        <v>0</v>
      </c>
      <c r="J10" s="25" t="n">
        <f aca="false">SUMIFS(Facilities!$Y$2:$Y$115,Facilities!$G$2:$G$115,A10,Facilities!$H$2:$H$115,"operating")</f>
        <v>1201642.75515923</v>
      </c>
      <c r="K10" s="25" t="n">
        <f aca="false">SUMIFS(Facilities!$V$2:$V$115,Facilities!$G$2:$G$115,A10,Facilities!$H$2:$H$115,"under construction")</f>
        <v>0</v>
      </c>
      <c r="L10" s="24" t="n">
        <f aca="false">SUMIFS(Facilities!$S$2:$S$115,Facilities!$G$2:$G$115,A10,Facilities!$H$2:$H$115,"under construction")+SUMIFS(Facilities!$S$2:$S$115,Facilities!$G$2:$G$115,A10,Facilities!$H$2:$H$115,"approved/planned")+SUMIFS(Facilities!$S$2:$S$115,Facilities!$G$2:$G$115,A10,Facilities!$H$2:$H$115,"proposed")</f>
        <v>0</v>
      </c>
      <c r="M10" s="26" t="n">
        <f aca="false">(F10+G10)/(Assumptions!$B$20/30)*1000</f>
        <v>0.638153020366201</v>
      </c>
      <c r="N10" s="13" t="s">
        <v>561</v>
      </c>
      <c r="O10" s="13" t="s">
        <v>562</v>
      </c>
    </row>
    <row r="11" customFormat="false" ht="15" hidden="false" customHeight="false" outlineLevel="0" collapsed="false">
      <c r="A11" s="13" t="n">
        <v>10</v>
      </c>
      <c r="B11" s="24" t="n">
        <f aca="false">COUNTIFS(Facilities!$G$2:$G$115,A11,Facilities!$H$2:$H$115,"operating")</f>
        <v>0</v>
      </c>
      <c r="C11" s="24" t="n">
        <f aca="false">COUNTIFS(Facilities!$G$2:$G$115,A11,Facilities!$H$2:$H$115,"under construction")</f>
        <v>0</v>
      </c>
      <c r="D11" s="24" t="n">
        <f aca="false">COUNTIFS(Facilities!$G$2:$G$115,A11,Facilities!$H$2:$H$115,"approved/planned")+COUNTIFS(Facilities!$G$2:$G$115,A11,Facilities!$H$2:$H$115,"proposed")</f>
        <v>0</v>
      </c>
      <c r="E11" s="24" t="n">
        <f aca="false">SUMIFS(Facilities!$P$2:$P$115,Facilities!$G$2:$G$115,A11)</f>
        <v>0</v>
      </c>
      <c r="F11" s="24" t="n">
        <f aca="false">SUMIFS(Facilities!$S$2:$S$115,Facilities!$G$2:$G$115,A11,Facilities!$H$2:$H$115,"operating")</f>
        <v>0</v>
      </c>
      <c r="G11" s="24" t="n">
        <f aca="false">Facilities!$T$119/30</f>
        <v>123.68035364101</v>
      </c>
      <c r="H11" s="24" t="n">
        <f aca="false">SUMIFS(Facilities!$U$2:$U$115,Facilities!$G$2:$G$115,A11,Facilities!$H$2:$H$115,"operating")</f>
        <v>0</v>
      </c>
      <c r="I11" s="24" t="n">
        <f aca="false">SUMIFS(Facilities!$U$2:$U$115,Facilities!$G$2:$G$115,A11,Facilities!$H$2:$H$115,"under construction")</f>
        <v>0</v>
      </c>
      <c r="J11" s="25" t="n">
        <f aca="false">SUMIFS(Facilities!$Y$2:$Y$115,Facilities!$G$2:$G$115,A11,Facilities!$H$2:$H$115,"operating")</f>
        <v>0</v>
      </c>
      <c r="K11" s="25" t="n">
        <f aca="false">SUMIFS(Facilities!$V$2:$V$115,Facilities!$G$2:$G$115,A11,Facilities!$H$2:$H$115,"under construction")</f>
        <v>0</v>
      </c>
      <c r="L11" s="24" t="n">
        <f aca="false">SUMIFS(Facilities!$S$2:$S$115,Facilities!$G$2:$G$115,A11,Facilities!$H$2:$H$115,"under construction")+SUMIFS(Facilities!$S$2:$S$115,Facilities!$G$2:$G$115,A11,Facilities!$H$2:$H$115,"approved/planned")+SUMIFS(Facilities!$S$2:$S$115,Facilities!$G$2:$G$115,A11,Facilities!$H$2:$H$115,"proposed")</f>
        <v>0</v>
      </c>
      <c r="M11" s="26" t="n">
        <f aca="false">(F11+G11)/(Assumptions!$B$20/30)*1000</f>
        <v>0.486686671852645</v>
      </c>
      <c r="N11" s="13" t="s">
        <v>563</v>
      </c>
      <c r="O11" s="13" t="s">
        <v>564</v>
      </c>
    </row>
    <row r="12" customFormat="false" ht="15" hidden="false" customHeight="false" outlineLevel="0" collapsed="false">
      <c r="A12" s="13" t="n">
        <v>11</v>
      </c>
      <c r="B12" s="24" t="n">
        <f aca="false">COUNTIFS(Facilities!$G$2:$G$115,A12,Facilities!$H$2:$H$115,"operating")</f>
        <v>23</v>
      </c>
      <c r="C12" s="24" t="n">
        <f aca="false">COUNTIFS(Facilities!$G$2:$G$115,A12,Facilities!$H$2:$H$115,"under construction")</f>
        <v>0</v>
      </c>
      <c r="D12" s="24" t="n">
        <f aca="false">COUNTIFS(Facilities!$G$2:$G$115,A12,Facilities!$H$2:$H$115,"approved/planned")+COUNTIFS(Facilities!$G$2:$G$115,A12,Facilities!$H$2:$H$115,"proposed")</f>
        <v>2</v>
      </c>
      <c r="E12" s="24" t="n">
        <f aca="false">SUMIFS(Facilities!$P$2:$P$115,Facilities!$G$2:$G$115,A12)</f>
        <v>18.4117506700479</v>
      </c>
      <c r="F12" s="24" t="n">
        <f aca="false">SUMIFS(Facilities!$S$2:$S$115,Facilities!$G$2:$G$115,A12,Facilities!$H$2:$H$115,"operating")</f>
        <v>71.8562851324281</v>
      </c>
      <c r="G12" s="24" t="n">
        <f aca="false">Facilities!$T$119/30</f>
        <v>123.68035364101</v>
      </c>
      <c r="H12" s="24" t="n">
        <f aca="false">SUMIFS(Facilities!$U$2:$U$115,Facilities!$G$2:$G$115,A12,Facilities!$H$2:$H$115,"operating")</f>
        <v>520.131956428853</v>
      </c>
      <c r="I12" s="24" t="n">
        <f aca="false">SUMIFS(Facilities!$U$2:$U$115,Facilities!$G$2:$G$115,A12,Facilities!$H$2:$H$115,"under construction")</f>
        <v>0</v>
      </c>
      <c r="J12" s="25" t="n">
        <f aca="false">SUMIFS(Facilities!$Y$2:$Y$115,Facilities!$G$2:$G$115,A12,Facilities!$H$2:$H$115,"operating")</f>
        <v>1487118.96610085</v>
      </c>
      <c r="K12" s="25" t="n">
        <f aca="false">SUMIFS(Facilities!$V$2:$V$115,Facilities!$G$2:$G$115,A12,Facilities!$H$2:$H$115,"under construction")</f>
        <v>0</v>
      </c>
      <c r="L12" s="24" t="n">
        <f aca="false">SUMIFS(Facilities!$S$2:$S$115,Facilities!$G$2:$G$115,A12,Facilities!$H$2:$H$115,"under construction")+SUMIFS(Facilities!$S$2:$S$115,Facilities!$G$2:$G$115,A12,Facilities!$H$2:$H$115,"approved/planned")+SUMIFS(Facilities!$S$2:$S$115,Facilities!$G$2:$G$115,A12,Facilities!$H$2:$H$115,"proposed")</f>
        <v>100</v>
      </c>
      <c r="M12" s="26" t="n">
        <f aca="false">(F12+G12)/(Assumptions!$B$20/30)*1000</f>
        <v>0.769443756816222</v>
      </c>
      <c r="N12" s="13" t="s">
        <v>565</v>
      </c>
      <c r="O12" s="13" t="s">
        <v>566</v>
      </c>
    </row>
    <row r="13" customFormat="false" ht="15" hidden="false" customHeight="false" outlineLevel="0" collapsed="false">
      <c r="A13" s="13" t="n">
        <v>12</v>
      </c>
      <c r="B13" s="24" t="n">
        <f aca="false">COUNTIFS(Facilities!$G$2:$G$115,A13,Facilities!$H$2:$H$115,"operating")</f>
        <v>1</v>
      </c>
      <c r="C13" s="24" t="n">
        <f aca="false">COUNTIFS(Facilities!$G$2:$G$115,A13,Facilities!$H$2:$H$115,"under construction")</f>
        <v>1</v>
      </c>
      <c r="D13" s="24" t="n">
        <f aca="false">COUNTIFS(Facilities!$G$2:$G$115,A13,Facilities!$H$2:$H$115,"approved/planned")+COUNTIFS(Facilities!$G$2:$G$115,A13,Facilities!$H$2:$H$115,"proposed")</f>
        <v>0</v>
      </c>
      <c r="E13" s="24" t="n">
        <f aca="false">SUMIFS(Facilities!$P$2:$P$115,Facilities!$G$2:$G$115,A13)</f>
        <v>11.2534750930853</v>
      </c>
      <c r="F13" s="24" t="n">
        <f aca="false">SUMIFS(Facilities!$S$2:$S$115,Facilities!$G$2:$G$115,A13,Facilities!$H$2:$H$115,"operating")</f>
        <v>22.5069501861707</v>
      </c>
      <c r="G13" s="24" t="n">
        <f aca="false">Facilities!$T$119/30</f>
        <v>123.68035364101</v>
      </c>
      <c r="H13" s="24" t="n">
        <f aca="false">SUMIFS(Facilities!$U$2:$U$115,Facilities!$G$2:$G$115,A13,Facilities!$H$2:$H$115,"operating")</f>
        <v>317.910671379661</v>
      </c>
      <c r="I13" s="24" t="n">
        <f aca="false">SUMIFS(Facilities!$U$2:$U$115,Facilities!$G$2:$G$115,A13,Facilities!$H$2:$H$115,"under construction")</f>
        <v>5085</v>
      </c>
      <c r="J13" s="25" t="n">
        <f aca="false">SUMIFS(Facilities!$Y$2:$Y$115,Facilities!$G$2:$G$115,A13,Facilities!$H$2:$H$115,"operating")</f>
        <v>819088.404703375</v>
      </c>
      <c r="K13" s="25" t="n">
        <f aca="false">SUMIFS(Facilities!$V$2:$V$115,Facilities!$G$2:$G$115,A13,Facilities!$H$2:$H$115,"under construction")</f>
        <v>120311100</v>
      </c>
      <c r="L13" s="24" t="n">
        <f aca="false">SUMIFS(Facilities!$S$2:$S$115,Facilities!$G$2:$G$115,A13,Facilities!$H$2:$H$115,"under construction")+SUMIFS(Facilities!$S$2:$S$115,Facilities!$G$2:$G$115,A13,Facilities!$H$2:$H$115,"approved/planned")+SUMIFS(Facilities!$S$2:$S$115,Facilities!$G$2:$G$115,A13,Facilities!$H$2:$H$115,"proposed")</f>
        <v>360</v>
      </c>
      <c r="M13" s="26" t="n">
        <f aca="false">(F13+G13)/(Assumptions!$B$20/30)*1000</f>
        <v>0.57525233614121</v>
      </c>
      <c r="N13" s="13" t="s">
        <v>567</v>
      </c>
      <c r="O13" s="13" t="s">
        <v>568</v>
      </c>
    </row>
    <row r="14" customFormat="false" ht="15" hidden="false" customHeight="false" outlineLevel="0" collapsed="false">
      <c r="A14" s="13" t="n">
        <v>13</v>
      </c>
      <c r="B14" s="24" t="n">
        <f aca="false">COUNTIFS(Facilities!$G$2:$G$115,A14,Facilities!$H$2:$H$115,"operating")</f>
        <v>6</v>
      </c>
      <c r="C14" s="24" t="n">
        <f aca="false">COUNTIFS(Facilities!$G$2:$G$115,A14,Facilities!$H$2:$H$115,"under construction")</f>
        <v>0</v>
      </c>
      <c r="D14" s="24" t="n">
        <f aca="false">COUNTIFS(Facilities!$G$2:$G$115,A14,Facilities!$H$2:$H$115,"approved/planned")+COUNTIFS(Facilities!$G$2:$G$115,A14,Facilities!$H$2:$H$115,"proposed")</f>
        <v>0</v>
      </c>
      <c r="E14" s="24" t="n">
        <f aca="false">SUMIFS(Facilities!$P$2:$P$115,Facilities!$G$2:$G$115,A14)</f>
        <v>140.16902408843</v>
      </c>
      <c r="F14" s="24" t="n">
        <f aca="false">SUMIFS(Facilities!$S$2:$S$115,Facilities!$G$2:$G$115,A14,Facilities!$H$2:$H$115,"operating")</f>
        <v>282.006275976494</v>
      </c>
      <c r="G14" s="24" t="n">
        <f aca="false">Facilities!$T$119/30</f>
        <v>123.68035364101</v>
      </c>
      <c r="H14" s="24" t="n">
        <f aca="false">SUMIFS(Facilities!$U$2:$U$115,Facilities!$G$2:$G$115,A14,Facilities!$H$2:$H$115,"operating")</f>
        <v>3959.77493049814</v>
      </c>
      <c r="I14" s="24" t="n">
        <f aca="false">SUMIFS(Facilities!$U$2:$U$115,Facilities!$G$2:$G$115,A14,Facilities!$H$2:$H$115,"under construction")</f>
        <v>0</v>
      </c>
      <c r="J14" s="25" t="n">
        <f aca="false">SUMIFS(Facilities!$Y$2:$Y$115,Facilities!$G$2:$G$115,A14,Facilities!$H$2:$H$115,"operating")</f>
        <v>9183892.87085694</v>
      </c>
      <c r="K14" s="25" t="n">
        <f aca="false">SUMIFS(Facilities!$V$2:$V$115,Facilities!$G$2:$G$115,A14,Facilities!$H$2:$H$115,"under construction")</f>
        <v>0</v>
      </c>
      <c r="L14" s="24" t="n">
        <f aca="false">SUMIFS(Facilities!$S$2:$S$115,Facilities!$G$2:$G$115,A14,Facilities!$H$2:$H$115,"under construction")+SUMIFS(Facilities!$S$2:$S$115,Facilities!$G$2:$G$115,A14,Facilities!$H$2:$H$115,"approved/planned")+SUMIFS(Facilities!$S$2:$S$115,Facilities!$G$2:$G$115,A14,Facilities!$H$2:$H$115,"proposed")</f>
        <v>0</v>
      </c>
      <c r="M14" s="26" t="n">
        <f aca="false">(F14+G14)/(Assumptions!$B$20/30)*1000</f>
        <v>1.59639158339366</v>
      </c>
      <c r="N14" s="13" t="s">
        <v>569</v>
      </c>
      <c r="O14" s="13" t="s">
        <v>570</v>
      </c>
    </row>
    <row r="15" customFormat="false" ht="15" hidden="false" customHeight="false" outlineLevel="0" collapsed="false">
      <c r="A15" s="13" t="n">
        <v>14</v>
      </c>
      <c r="B15" s="24" t="n">
        <f aca="false">COUNTIFS(Facilities!$G$2:$G$115,A15,Facilities!$H$2:$H$115,"operating")</f>
        <v>1</v>
      </c>
      <c r="C15" s="24" t="n">
        <f aca="false">COUNTIFS(Facilities!$G$2:$G$115,A15,Facilities!$H$2:$H$115,"under construction")</f>
        <v>0</v>
      </c>
      <c r="D15" s="24" t="n">
        <f aca="false">COUNTIFS(Facilities!$G$2:$G$115,A15,Facilities!$H$2:$H$115,"approved/planned")+COUNTIFS(Facilities!$G$2:$G$115,A15,Facilities!$H$2:$H$115,"proposed")</f>
        <v>0</v>
      </c>
      <c r="E15" s="24" t="n">
        <f aca="false">SUMIFS(Facilities!$P$2:$P$115,Facilities!$G$2:$G$115,A15)</f>
        <v>0.665886100182564</v>
      </c>
      <c r="F15" s="24" t="n">
        <f aca="false">SUMIFS(Facilities!$S$2:$S$115,Facilities!$G$2:$G$115,A15,Facilities!$H$2:$H$115,"operating")</f>
        <v>3</v>
      </c>
      <c r="G15" s="24" t="n">
        <f aca="false">Facilities!$T$119/30</f>
        <v>123.68035364101</v>
      </c>
      <c r="H15" s="24" t="n">
        <f aca="false">SUMIFS(Facilities!$U$2:$U$115,Facilities!$G$2:$G$115,A15,Facilities!$H$2:$H$115,"operating")</f>
        <v>18.8112823301574</v>
      </c>
      <c r="I15" s="24" t="n">
        <f aca="false">SUMIFS(Facilities!$U$2:$U$115,Facilities!$G$2:$G$115,A15,Facilities!$H$2:$H$115,"under construction")</f>
        <v>0</v>
      </c>
      <c r="J15" s="25" t="n">
        <f aca="false">SUMIFS(Facilities!$Y$2:$Y$115,Facilities!$G$2:$G$115,A15,Facilities!$H$2:$H$115,"operating")</f>
        <v>52637.3390081627</v>
      </c>
      <c r="K15" s="25" t="n">
        <f aca="false">SUMIFS(Facilities!$V$2:$V$115,Facilities!$G$2:$G$115,A15,Facilities!$H$2:$H$115,"under construction")</f>
        <v>0</v>
      </c>
      <c r="L15" s="24" t="n">
        <f aca="false">SUMIFS(Facilities!$S$2:$S$115,Facilities!$G$2:$G$115,A15,Facilities!$H$2:$H$115,"under construction")+SUMIFS(Facilities!$S$2:$S$115,Facilities!$G$2:$G$115,A15,Facilities!$H$2:$H$115,"approved/planned")+SUMIFS(Facilities!$S$2:$S$115,Facilities!$G$2:$G$115,A15,Facilities!$H$2:$H$115,"proposed")</f>
        <v>0</v>
      </c>
      <c r="M15" s="26" t="n">
        <f aca="false">(F15+G15)/(Assumptions!$B$20/30)*1000</f>
        <v>0.498491780526541</v>
      </c>
      <c r="N15" s="13" t="s">
        <v>571</v>
      </c>
      <c r="O15" s="13" t="s">
        <v>572</v>
      </c>
    </row>
    <row r="16" customFormat="false" ht="15" hidden="false" customHeight="false" outlineLevel="0" collapsed="false">
      <c r="A16" s="13" t="n">
        <v>15</v>
      </c>
      <c r="B16" s="24" t="n">
        <f aca="false">COUNTIFS(Facilities!$G$2:$G$115,A16,Facilities!$H$2:$H$115,"operating")</f>
        <v>5</v>
      </c>
      <c r="C16" s="24" t="n">
        <f aca="false">COUNTIFS(Facilities!$G$2:$G$115,A16,Facilities!$H$2:$H$115,"under construction")</f>
        <v>3</v>
      </c>
      <c r="D16" s="24" t="n">
        <f aca="false">COUNTIFS(Facilities!$G$2:$G$115,A16,Facilities!$H$2:$H$115,"approved/planned")+COUNTIFS(Facilities!$G$2:$G$115,A16,Facilities!$H$2:$H$115,"proposed")</f>
        <v>2</v>
      </c>
      <c r="E16" s="24" t="n">
        <f aca="false">SUMIFS(Facilities!$P$2:$P$115,Facilities!$G$2:$G$115,A16)</f>
        <v>358.912607998402</v>
      </c>
      <c r="F16" s="24" t="n">
        <f aca="false">SUMIFS(Facilities!$S$2:$S$115,Facilities!$G$2:$G$115,A16,Facilities!$H$2:$H$115,"operating")</f>
        <v>629.672162076677</v>
      </c>
      <c r="G16" s="24" t="n">
        <f aca="false">Facilities!$T$119/30</f>
        <v>123.68035364101</v>
      </c>
      <c r="H16" s="24" t="n">
        <f aca="false">SUMIFS(Facilities!$U$2:$U$115,Facilities!$G$2:$G$115,A16,Facilities!$H$2:$H$115,"operating")</f>
        <v>10139.2811759549</v>
      </c>
      <c r="I16" s="24" t="n">
        <f aca="false">SUMIFS(Facilities!$U$2:$U$115,Facilities!$G$2:$G$115,A16,Facilities!$H$2:$H$115,"under construction")</f>
        <v>15339.75</v>
      </c>
      <c r="J16" s="25" t="n">
        <f aca="false">SUMIFS(Facilities!$Y$2:$Y$115,Facilities!$G$2:$G$115,A16,Facilities!$H$2:$H$115,"operating")</f>
        <v>23122746.0476885</v>
      </c>
      <c r="K16" s="25" t="n">
        <f aca="false">SUMIFS(Facilities!$V$2:$V$115,Facilities!$G$2:$G$115,A16,Facilities!$H$2:$H$115,"under construction")</f>
        <v>331031805</v>
      </c>
      <c r="L16" s="24" t="n">
        <f aca="false">SUMIFS(Facilities!$S$2:$S$115,Facilities!$G$2:$G$115,A16,Facilities!$H$2:$H$115,"under construction")+SUMIFS(Facilities!$S$2:$S$115,Facilities!$G$2:$G$115,A16,Facilities!$H$2:$H$115,"approved/planned")+SUMIFS(Facilities!$S$2:$S$115,Facilities!$G$2:$G$115,A16,Facilities!$H$2:$H$115,"proposed")</f>
        <v>1191.6</v>
      </c>
      <c r="M16" s="26" t="n">
        <f aca="false">(F16+G16)/(Assumptions!$B$20/30)*1000</f>
        <v>2.9644694392666</v>
      </c>
      <c r="N16" s="13" t="s">
        <v>573</v>
      </c>
      <c r="O16" s="13" t="s">
        <v>574</v>
      </c>
    </row>
    <row r="17" customFormat="false" ht="15" hidden="false" customHeight="false" outlineLevel="0" collapsed="false">
      <c r="A17" s="13" t="n">
        <v>16</v>
      </c>
      <c r="B17" s="24" t="n">
        <f aca="false">COUNTIFS(Facilities!$G$2:$G$115,A17,Facilities!$H$2:$H$115,"operating")</f>
        <v>0</v>
      </c>
      <c r="C17" s="24" t="n">
        <f aca="false">COUNTIFS(Facilities!$G$2:$G$115,A17,Facilities!$H$2:$H$115,"under construction")</f>
        <v>0</v>
      </c>
      <c r="D17" s="24" t="n">
        <f aca="false">COUNTIFS(Facilities!$G$2:$G$115,A17,Facilities!$H$2:$H$115,"approved/planned")+COUNTIFS(Facilities!$G$2:$G$115,A17,Facilities!$H$2:$H$115,"proposed")</f>
        <v>6</v>
      </c>
      <c r="E17" s="24" t="n">
        <f aca="false">SUMIFS(Facilities!$P$2:$P$115,Facilities!$G$2:$G$115,A17)</f>
        <v>0</v>
      </c>
      <c r="F17" s="24" t="n">
        <f aca="false">SUMIFS(Facilities!$S$2:$S$115,Facilities!$G$2:$G$115,A17,Facilities!$H$2:$H$115,"operating")</f>
        <v>0</v>
      </c>
      <c r="G17" s="24" t="n">
        <f aca="false">Facilities!$T$119/30</f>
        <v>123.68035364101</v>
      </c>
      <c r="H17" s="24" t="n">
        <f aca="false">SUMIFS(Facilities!$U$2:$U$115,Facilities!$G$2:$G$115,A17,Facilities!$H$2:$H$115,"operating")</f>
        <v>0</v>
      </c>
      <c r="I17" s="24" t="n">
        <f aca="false">SUMIFS(Facilities!$U$2:$U$115,Facilities!$G$2:$G$115,A17,Facilities!$H$2:$H$115,"under construction")</f>
        <v>0</v>
      </c>
      <c r="J17" s="25" t="n">
        <f aca="false">SUMIFS(Facilities!$Y$2:$Y$115,Facilities!$G$2:$G$115,A17,Facilities!$H$2:$H$115,"operating")</f>
        <v>0</v>
      </c>
      <c r="K17" s="25" t="n">
        <f aca="false">SUMIFS(Facilities!$V$2:$V$115,Facilities!$G$2:$G$115,A17,Facilities!$H$2:$H$115,"under construction")</f>
        <v>0</v>
      </c>
      <c r="L17" s="24" t="n">
        <f aca="false">SUMIFS(Facilities!$S$2:$S$115,Facilities!$G$2:$G$115,A17,Facilities!$H$2:$H$115,"under construction")+SUMIFS(Facilities!$S$2:$S$115,Facilities!$G$2:$G$115,A17,Facilities!$H$2:$H$115,"approved/planned")+SUMIFS(Facilities!$S$2:$S$115,Facilities!$G$2:$G$115,A17,Facilities!$H$2:$H$115,"proposed")</f>
        <v>965</v>
      </c>
      <c r="M17" s="26" t="n">
        <f aca="false">(F17+G17)/(Assumptions!$B$20/30)*1000</f>
        <v>0.486686671852645</v>
      </c>
      <c r="N17" s="13" t="s">
        <v>575</v>
      </c>
      <c r="O17" s="13" t="s">
        <v>576</v>
      </c>
    </row>
    <row r="18" customFormat="false" ht="15" hidden="false" customHeight="false" outlineLevel="0" collapsed="false">
      <c r="A18" s="13" t="n">
        <v>17</v>
      </c>
      <c r="B18" s="24" t="n">
        <f aca="false">COUNTIFS(Facilities!$G$2:$G$115,A18,Facilities!$H$2:$H$115,"operating")</f>
        <v>0</v>
      </c>
      <c r="C18" s="24" t="n">
        <f aca="false">COUNTIFS(Facilities!$G$2:$G$115,A18,Facilities!$H$2:$H$115,"under construction")</f>
        <v>0</v>
      </c>
      <c r="D18" s="24" t="n">
        <f aca="false">COUNTIFS(Facilities!$G$2:$G$115,A18,Facilities!$H$2:$H$115,"approved/planned")+COUNTIFS(Facilities!$G$2:$G$115,A18,Facilities!$H$2:$H$115,"proposed")</f>
        <v>1</v>
      </c>
      <c r="E18" s="24" t="n">
        <f aca="false">SUMIFS(Facilities!$P$2:$P$115,Facilities!$G$2:$G$115,A18)</f>
        <v>0</v>
      </c>
      <c r="F18" s="24" t="n">
        <f aca="false">SUMIFS(Facilities!$S$2:$S$115,Facilities!$G$2:$G$115,A18,Facilities!$H$2:$H$115,"operating")</f>
        <v>0</v>
      </c>
      <c r="G18" s="24" t="n">
        <f aca="false">Facilities!$T$119/30</f>
        <v>123.68035364101</v>
      </c>
      <c r="H18" s="24" t="n">
        <f aca="false">SUMIFS(Facilities!$U$2:$U$115,Facilities!$G$2:$G$115,A18,Facilities!$H$2:$H$115,"operating")</f>
        <v>0</v>
      </c>
      <c r="I18" s="24" t="n">
        <f aca="false">SUMIFS(Facilities!$U$2:$U$115,Facilities!$G$2:$G$115,A18,Facilities!$H$2:$H$115,"under construction")</f>
        <v>0</v>
      </c>
      <c r="J18" s="25" t="n">
        <f aca="false">SUMIFS(Facilities!$Y$2:$Y$115,Facilities!$G$2:$G$115,A18,Facilities!$H$2:$H$115,"operating")</f>
        <v>0</v>
      </c>
      <c r="K18" s="25" t="n">
        <f aca="false">SUMIFS(Facilities!$V$2:$V$115,Facilities!$G$2:$G$115,A18,Facilities!$H$2:$H$115,"under construction")</f>
        <v>0</v>
      </c>
      <c r="L18" s="24" t="n">
        <f aca="false">SUMIFS(Facilities!$S$2:$S$115,Facilities!$G$2:$G$115,A18,Facilities!$H$2:$H$115,"under construction")+SUMIFS(Facilities!$S$2:$S$115,Facilities!$G$2:$G$115,A18,Facilities!$H$2:$H$115,"approved/planned")+SUMIFS(Facilities!$S$2:$S$115,Facilities!$G$2:$G$115,A18,Facilities!$H$2:$H$115,"proposed")</f>
        <v>0</v>
      </c>
      <c r="M18" s="26" t="n">
        <f aca="false">(F18+G18)/(Assumptions!$B$20/30)*1000</f>
        <v>0.486686671852645</v>
      </c>
      <c r="N18" s="13" t="s">
        <v>577</v>
      </c>
      <c r="O18" s="13" t="s">
        <v>578</v>
      </c>
    </row>
    <row r="19" customFormat="false" ht="15" hidden="false" customHeight="false" outlineLevel="0" collapsed="false">
      <c r="A19" s="13" t="n">
        <v>18</v>
      </c>
      <c r="B19" s="24" t="n">
        <f aca="false">COUNTIFS(Facilities!$G$2:$G$115,A19,Facilities!$H$2:$H$115,"operating")</f>
        <v>2</v>
      </c>
      <c r="C19" s="24" t="n">
        <f aca="false">COUNTIFS(Facilities!$G$2:$G$115,A19,Facilities!$H$2:$H$115,"under construction")</f>
        <v>0</v>
      </c>
      <c r="D19" s="24" t="n">
        <f aca="false">COUNTIFS(Facilities!$G$2:$G$115,A19,Facilities!$H$2:$H$115,"approved/planned")+COUNTIFS(Facilities!$G$2:$G$115,A19,Facilities!$H$2:$H$115,"proposed")</f>
        <v>0</v>
      </c>
      <c r="E19" s="24" t="n">
        <f aca="false">SUMIFS(Facilities!$P$2:$P$115,Facilities!$G$2:$G$115,A19)</f>
        <v>1.33177220036513</v>
      </c>
      <c r="F19" s="24" t="n">
        <f aca="false">SUMIFS(Facilities!$S$2:$S$115,Facilities!$G$2:$G$115,A19,Facilities!$H$2:$H$115,"operating")</f>
        <v>6</v>
      </c>
      <c r="G19" s="24" t="n">
        <f aca="false">Facilities!$T$119/30</f>
        <v>123.68035364101</v>
      </c>
      <c r="H19" s="24" t="n">
        <f aca="false">SUMIFS(Facilities!$U$2:$U$115,Facilities!$G$2:$G$115,A19,Facilities!$H$2:$H$115,"operating")</f>
        <v>37.6225646603149</v>
      </c>
      <c r="I19" s="24" t="n">
        <f aca="false">SUMIFS(Facilities!$U$2:$U$115,Facilities!$G$2:$G$115,A19,Facilities!$H$2:$H$115,"under construction")</f>
        <v>0</v>
      </c>
      <c r="J19" s="25" t="n">
        <f aca="false">SUMIFS(Facilities!$Y$2:$Y$115,Facilities!$G$2:$G$115,A19,Facilities!$H$2:$H$115,"operating")</f>
        <v>105274.678016325</v>
      </c>
      <c r="K19" s="25" t="n">
        <f aca="false">SUMIFS(Facilities!$V$2:$V$115,Facilities!$G$2:$G$115,A19,Facilities!$H$2:$H$115,"under construction")</f>
        <v>0</v>
      </c>
      <c r="L19" s="24" t="n">
        <f aca="false">SUMIFS(Facilities!$S$2:$S$115,Facilities!$G$2:$G$115,A19,Facilities!$H$2:$H$115,"under construction")+SUMIFS(Facilities!$S$2:$S$115,Facilities!$G$2:$G$115,A19,Facilities!$H$2:$H$115,"approved/planned")+SUMIFS(Facilities!$S$2:$S$115,Facilities!$G$2:$G$115,A19,Facilities!$H$2:$H$115,"proposed")</f>
        <v>0</v>
      </c>
      <c r="M19" s="26" t="n">
        <f aca="false">(F19+G19)/(Assumptions!$B$20/30)*1000</f>
        <v>0.510296889200436</v>
      </c>
      <c r="N19" s="13" t="s">
        <v>579</v>
      </c>
      <c r="O19" s="13" t="s">
        <v>580</v>
      </c>
    </row>
    <row r="20" customFormat="false" ht="15" hidden="false" customHeight="false" outlineLevel="0" collapsed="false">
      <c r="A20" s="13" t="n">
        <v>19</v>
      </c>
      <c r="B20" s="24" t="n">
        <f aca="false">COUNTIFS(Facilities!$G$2:$G$115,A20,Facilities!$H$2:$H$115,"operating")</f>
        <v>1</v>
      </c>
      <c r="C20" s="24" t="n">
        <f aca="false">COUNTIFS(Facilities!$G$2:$G$115,A20,Facilities!$H$2:$H$115,"under construction")</f>
        <v>1</v>
      </c>
      <c r="D20" s="24" t="n">
        <f aca="false">COUNTIFS(Facilities!$G$2:$G$115,A20,Facilities!$H$2:$H$115,"approved/planned")+COUNTIFS(Facilities!$G$2:$G$115,A20,Facilities!$H$2:$H$115,"proposed")</f>
        <v>0</v>
      </c>
      <c r="E20" s="24" t="n">
        <f aca="false">SUMIFS(Facilities!$P$2:$P$115,Facilities!$G$2:$G$115,A20)</f>
        <v>0.665886100182564</v>
      </c>
      <c r="F20" s="24" t="n">
        <f aca="false">SUMIFS(Facilities!$S$2:$S$115,Facilities!$G$2:$G$115,A20,Facilities!$H$2:$H$115,"operating")</f>
        <v>3</v>
      </c>
      <c r="G20" s="24" t="n">
        <f aca="false">Facilities!$T$119/30</f>
        <v>123.68035364101</v>
      </c>
      <c r="H20" s="24" t="n">
        <f aca="false">SUMIFS(Facilities!$U$2:$U$115,Facilities!$G$2:$G$115,A20,Facilities!$H$2:$H$115,"operating")</f>
        <v>18.8112823301574</v>
      </c>
      <c r="I20" s="24" t="n">
        <f aca="false">SUMIFS(Facilities!$U$2:$U$115,Facilities!$G$2:$G$115,A20,Facilities!$H$2:$H$115,"under construction")</f>
        <v>16950</v>
      </c>
      <c r="J20" s="25" t="n">
        <f aca="false">SUMIFS(Facilities!$Y$2:$Y$115,Facilities!$G$2:$G$115,A20,Facilities!$H$2:$H$115,"operating")</f>
        <v>52637.3390081627</v>
      </c>
      <c r="K20" s="25" t="n">
        <f aca="false">SUMIFS(Facilities!$V$2:$V$115,Facilities!$G$2:$G$115,A20,Facilities!$H$2:$H$115,"under construction")</f>
        <v>268827000</v>
      </c>
      <c r="L20" s="24" t="n">
        <f aca="false">SUMIFS(Facilities!$S$2:$S$115,Facilities!$G$2:$G$115,A20,Facilities!$H$2:$H$115,"under construction")+SUMIFS(Facilities!$S$2:$S$115,Facilities!$G$2:$G$115,A20,Facilities!$H$2:$H$115,"approved/planned")+SUMIFS(Facilities!$S$2:$S$115,Facilities!$G$2:$G$115,A20,Facilities!$H$2:$H$115,"proposed")</f>
        <v>180</v>
      </c>
      <c r="M20" s="26" t="n">
        <f aca="false">(F20+G20)/(Assumptions!$B$20/30)*1000</f>
        <v>0.498491780526541</v>
      </c>
      <c r="N20" s="13" t="s">
        <v>581</v>
      </c>
      <c r="O20" s="13" t="s">
        <v>582</v>
      </c>
    </row>
    <row r="21" customFormat="false" ht="15" hidden="false" customHeight="false" outlineLevel="0" collapsed="false">
      <c r="A21" s="13" t="n">
        <v>20</v>
      </c>
      <c r="B21" s="24" t="n">
        <f aca="false">COUNTIFS(Facilities!$G$2:$G$115,A21,Facilities!$H$2:$H$115,"operating")</f>
        <v>2</v>
      </c>
      <c r="C21" s="24" t="n">
        <f aca="false">COUNTIFS(Facilities!$G$2:$G$115,A21,Facilities!$H$2:$H$115,"under construction")</f>
        <v>0</v>
      </c>
      <c r="D21" s="24" t="n">
        <f aca="false">COUNTIFS(Facilities!$G$2:$G$115,A21,Facilities!$H$2:$H$115,"approved/planned")+COUNTIFS(Facilities!$G$2:$G$115,A21,Facilities!$H$2:$H$115,"proposed")</f>
        <v>0</v>
      </c>
      <c r="E21" s="24" t="n">
        <f aca="false">SUMIFS(Facilities!$P$2:$P$115,Facilities!$G$2:$G$115,A21)</f>
        <v>1.33177220036513</v>
      </c>
      <c r="F21" s="24" t="n">
        <f aca="false">SUMIFS(Facilities!$S$2:$S$115,Facilities!$G$2:$G$115,A21,Facilities!$H$2:$H$115,"operating")</f>
        <v>6</v>
      </c>
      <c r="G21" s="24" t="n">
        <f aca="false">Facilities!$T$119/30</f>
        <v>123.68035364101</v>
      </c>
      <c r="H21" s="24" t="n">
        <f aca="false">SUMIFS(Facilities!$U$2:$U$115,Facilities!$G$2:$G$115,A21,Facilities!$H$2:$H$115,"operating")</f>
        <v>37.6225646603149</v>
      </c>
      <c r="I21" s="24" t="n">
        <f aca="false">SUMIFS(Facilities!$U$2:$U$115,Facilities!$G$2:$G$115,A21,Facilities!$H$2:$H$115,"under construction")</f>
        <v>0</v>
      </c>
      <c r="J21" s="25" t="n">
        <f aca="false">SUMIFS(Facilities!$Y$2:$Y$115,Facilities!$G$2:$G$115,A21,Facilities!$H$2:$H$115,"operating")</f>
        <v>105274.678016325</v>
      </c>
      <c r="K21" s="25" t="n">
        <f aca="false">SUMIFS(Facilities!$V$2:$V$115,Facilities!$G$2:$G$115,A21,Facilities!$H$2:$H$115,"under construction")</f>
        <v>0</v>
      </c>
      <c r="L21" s="24" t="n">
        <f aca="false">SUMIFS(Facilities!$S$2:$S$115,Facilities!$G$2:$G$115,A21,Facilities!$H$2:$H$115,"under construction")+SUMIFS(Facilities!$S$2:$S$115,Facilities!$G$2:$G$115,A21,Facilities!$H$2:$H$115,"approved/planned")+SUMIFS(Facilities!$S$2:$S$115,Facilities!$G$2:$G$115,A21,Facilities!$H$2:$H$115,"proposed")</f>
        <v>0</v>
      </c>
      <c r="M21" s="26" t="n">
        <f aca="false">(F21+G21)/(Assumptions!$B$20/30)*1000</f>
        <v>0.510296889200436</v>
      </c>
      <c r="N21" s="13" t="s">
        <v>583</v>
      </c>
      <c r="O21" s="13" t="s">
        <v>584</v>
      </c>
    </row>
    <row r="22" customFormat="false" ht="15" hidden="false" customHeight="false" outlineLevel="0" collapsed="false">
      <c r="A22" s="13" t="n">
        <v>21</v>
      </c>
      <c r="B22" s="24" t="n">
        <f aca="false">COUNTIFS(Facilities!$G$2:$G$115,A22,Facilities!$H$2:$H$115,"operating")</f>
        <v>4</v>
      </c>
      <c r="C22" s="24" t="n">
        <f aca="false">COUNTIFS(Facilities!$G$2:$G$115,A22,Facilities!$H$2:$H$115,"under construction")</f>
        <v>0</v>
      </c>
      <c r="D22" s="24" t="n">
        <f aca="false">COUNTIFS(Facilities!$G$2:$G$115,A22,Facilities!$H$2:$H$115,"approved/planned")+COUNTIFS(Facilities!$G$2:$G$115,A22,Facilities!$H$2:$H$115,"proposed")</f>
        <v>2</v>
      </c>
      <c r="E22" s="24" t="n">
        <f aca="false">SUMIFS(Facilities!$P$2:$P$115,Facilities!$G$2:$G$115,A22)</f>
        <v>2.66354440073026</v>
      </c>
      <c r="F22" s="24" t="n">
        <f aca="false">SUMIFS(Facilities!$S$2:$S$115,Facilities!$G$2:$G$115,A22,Facilities!$H$2:$H$115,"operating")</f>
        <v>12</v>
      </c>
      <c r="G22" s="24" t="n">
        <f aca="false">Facilities!$T$119/30</f>
        <v>123.68035364101</v>
      </c>
      <c r="H22" s="24" t="n">
        <f aca="false">SUMIFS(Facilities!$U$2:$U$115,Facilities!$G$2:$G$115,A22,Facilities!$H$2:$H$115,"operating")</f>
        <v>75.2451293206297</v>
      </c>
      <c r="I22" s="24" t="n">
        <f aca="false">SUMIFS(Facilities!$U$2:$U$115,Facilities!$G$2:$G$115,A22,Facilities!$H$2:$H$115,"under construction")</f>
        <v>0</v>
      </c>
      <c r="J22" s="25" t="n">
        <f aca="false">SUMIFS(Facilities!$Y$2:$Y$115,Facilities!$G$2:$G$115,A22,Facilities!$H$2:$H$115,"operating")</f>
        <v>210549.356032651</v>
      </c>
      <c r="K22" s="25" t="n">
        <f aca="false">SUMIFS(Facilities!$V$2:$V$115,Facilities!$G$2:$G$115,A22,Facilities!$H$2:$H$115,"under construction")</f>
        <v>0</v>
      </c>
      <c r="L22" s="24" t="n">
        <f aca="false">SUMIFS(Facilities!$S$2:$S$115,Facilities!$G$2:$G$115,A22,Facilities!$H$2:$H$115,"under construction")+SUMIFS(Facilities!$S$2:$S$115,Facilities!$G$2:$G$115,A22,Facilities!$H$2:$H$115,"approved/planned")+SUMIFS(Facilities!$S$2:$S$115,Facilities!$G$2:$G$115,A22,Facilities!$H$2:$H$115,"proposed")</f>
        <v>300</v>
      </c>
      <c r="M22" s="26" t="n">
        <f aca="false">(F22+G22)/(Assumptions!$B$20/30)*1000</f>
        <v>0.533907106548227</v>
      </c>
      <c r="N22" s="13" t="s">
        <v>585</v>
      </c>
      <c r="O22" s="13" t="s">
        <v>586</v>
      </c>
    </row>
    <row r="23" customFormat="false" ht="15" hidden="false" customHeight="false" outlineLevel="0" collapsed="false">
      <c r="A23" s="13" t="n">
        <v>22</v>
      </c>
      <c r="B23" s="24" t="n">
        <f aca="false">COUNTIFS(Facilities!$G$2:$G$115,A23,Facilities!$H$2:$H$115,"operating")</f>
        <v>1</v>
      </c>
      <c r="C23" s="24" t="n">
        <f aca="false">COUNTIFS(Facilities!$G$2:$G$115,A23,Facilities!$H$2:$H$115,"under construction")</f>
        <v>2</v>
      </c>
      <c r="D23" s="24" t="n">
        <f aca="false">COUNTIFS(Facilities!$G$2:$G$115,A23,Facilities!$H$2:$H$115,"approved/planned")+COUNTIFS(Facilities!$G$2:$G$115,A23,Facilities!$H$2:$H$115,"proposed")</f>
        <v>0</v>
      </c>
      <c r="E23" s="24" t="n">
        <f aca="false">SUMIFS(Facilities!$P$2:$P$115,Facilities!$G$2:$G$115,A23)</f>
        <v>74.9121862705384</v>
      </c>
      <c r="F23" s="24" t="n">
        <f aca="false">SUMIFS(Facilities!$S$2:$S$115,Facilities!$G$2:$G$115,A23,Facilities!$H$2:$H$115,"operating")</f>
        <v>149.824372541077</v>
      </c>
      <c r="G23" s="24" t="n">
        <f aca="false">Facilities!$T$119/30</f>
        <v>123.68035364101</v>
      </c>
      <c r="H23" s="24" t="n">
        <f aca="false">SUMIFS(Facilities!$U$2:$U$115,Facilities!$G$2:$G$115,A23,Facilities!$H$2:$H$115,"operating")</f>
        <v>2116.26926214271</v>
      </c>
      <c r="I23" s="24" t="n">
        <f aca="false">SUMIFS(Facilities!$U$2:$U$115,Facilities!$G$2:$G$115,A23,Facilities!$H$2:$H$115,"under construction")</f>
        <v>6780</v>
      </c>
      <c r="J23" s="25" t="n">
        <f aca="false">SUMIFS(Facilities!$Y$2:$Y$115,Facilities!$G$2:$G$115,A23,Facilities!$H$2:$H$115,"operating")</f>
        <v>6671219.72299138</v>
      </c>
      <c r="K23" s="25" t="n">
        <f aca="false">SUMIFS(Facilities!$V$2:$V$115,Facilities!$G$2:$G$115,A23,Facilities!$H$2:$H$115,"under construction")</f>
        <v>155126400</v>
      </c>
      <c r="L23" s="24" t="n">
        <f aca="false">SUMIFS(Facilities!$S$2:$S$115,Facilities!$G$2:$G$115,A23,Facilities!$H$2:$H$115,"under construction")+SUMIFS(Facilities!$S$2:$S$115,Facilities!$G$2:$G$115,A23,Facilities!$H$2:$H$115,"approved/planned")+SUMIFS(Facilities!$S$2:$S$115,Facilities!$G$2:$G$115,A23,Facilities!$H$2:$H$115,"proposed")</f>
        <v>480</v>
      </c>
      <c r="M23" s="26" t="n">
        <f aca="false">(F23+G23)/(Assumptions!$B$20/30)*1000</f>
        <v>1.07625100513451</v>
      </c>
      <c r="N23" s="13" t="s">
        <v>587</v>
      </c>
      <c r="O23" s="13" t="s">
        <v>588</v>
      </c>
    </row>
    <row r="24" customFormat="false" ht="15" hidden="false" customHeight="false" outlineLevel="0" collapsed="false">
      <c r="A24" s="13" t="n">
        <v>23</v>
      </c>
      <c r="B24" s="24" t="n">
        <f aca="false">COUNTIFS(Facilities!$G$2:$G$115,A24,Facilities!$H$2:$H$115,"operating")</f>
        <v>5</v>
      </c>
      <c r="C24" s="24" t="n">
        <f aca="false">COUNTIFS(Facilities!$G$2:$G$115,A24,Facilities!$H$2:$H$115,"under construction")</f>
        <v>0</v>
      </c>
      <c r="D24" s="24" t="n">
        <f aca="false">COUNTIFS(Facilities!$G$2:$G$115,A24,Facilities!$H$2:$H$115,"approved/planned")+COUNTIFS(Facilities!$G$2:$G$115,A24,Facilities!$H$2:$H$115,"proposed")</f>
        <v>1</v>
      </c>
      <c r="E24" s="24" t="n">
        <f aca="false">SUMIFS(Facilities!$P$2:$P$115,Facilities!$G$2:$G$115,A24)</f>
        <v>379.888020154153</v>
      </c>
      <c r="F24" s="24" t="n">
        <f aca="false">SUMIFS(Facilities!$S$2:$S$115,Facilities!$G$2:$G$115,A24,Facilities!$H$2:$H$115,"operating")</f>
        <v>346.048426566636</v>
      </c>
      <c r="G24" s="24" t="n">
        <f aca="false">Facilities!$T$119/30</f>
        <v>123.68035364101</v>
      </c>
      <c r="H24" s="24" t="n">
        <f aca="false">SUMIFS(Facilities!$U$2:$U$115,Facilities!$G$2:$G$115,A24,Facilities!$H$2:$H$115,"operating")</f>
        <v>10731.8365693548</v>
      </c>
      <c r="I24" s="24" t="n">
        <f aca="false">SUMIFS(Facilities!$U$2:$U$115,Facilities!$G$2:$G$115,A24,Facilities!$H$2:$H$115,"under construction")</f>
        <v>0</v>
      </c>
      <c r="J24" s="25" t="n">
        <f aca="false">SUMIFS(Facilities!$Y$2:$Y$115,Facilities!$G$2:$G$115,A24,Facilities!$H$2:$H$115,"operating")</f>
        <v>27842204.0136285</v>
      </c>
      <c r="K24" s="25" t="n">
        <f aca="false">SUMIFS(Facilities!$V$2:$V$115,Facilities!$G$2:$G$115,A24,Facilities!$H$2:$H$115,"under construction")</f>
        <v>0</v>
      </c>
      <c r="L24" s="24" t="n">
        <f aca="false">SUMIFS(Facilities!$S$2:$S$115,Facilities!$G$2:$G$115,A24,Facilities!$H$2:$H$115,"under construction")+SUMIFS(Facilities!$S$2:$S$115,Facilities!$G$2:$G$115,A24,Facilities!$H$2:$H$115,"approved/planned")+SUMIFS(Facilities!$S$2:$S$115,Facilities!$G$2:$G$115,A24,Facilities!$H$2:$H$115,"proposed")</f>
        <v>0</v>
      </c>
      <c r="M24" s="26" t="n">
        <f aca="false">(F24+G24)/(Assumptions!$B$20/30)*1000</f>
        <v>1.8483997658692</v>
      </c>
      <c r="N24" s="13" t="s">
        <v>589</v>
      </c>
      <c r="O24" s="13" t="s">
        <v>590</v>
      </c>
    </row>
    <row r="25" customFormat="false" ht="15" hidden="false" customHeight="false" outlineLevel="0" collapsed="false">
      <c r="A25" s="13" t="n">
        <v>24</v>
      </c>
      <c r="B25" s="24" t="n">
        <f aca="false">COUNTIFS(Facilities!$G$2:$G$115,A25,Facilities!$H$2:$H$115,"operating")</f>
        <v>0</v>
      </c>
      <c r="C25" s="24" t="n">
        <f aca="false">COUNTIFS(Facilities!$G$2:$G$115,A25,Facilities!$H$2:$H$115,"under construction")</f>
        <v>1</v>
      </c>
      <c r="D25" s="24" t="n">
        <f aca="false">COUNTIFS(Facilities!$G$2:$G$115,A25,Facilities!$H$2:$H$115,"approved/planned")+COUNTIFS(Facilities!$G$2:$G$115,A25,Facilities!$H$2:$H$115,"proposed")</f>
        <v>0</v>
      </c>
      <c r="E25" s="24" t="n">
        <f aca="false">SUMIFS(Facilities!$P$2:$P$115,Facilities!$G$2:$G$115,A25)</f>
        <v>0</v>
      </c>
      <c r="F25" s="24" t="n">
        <f aca="false">SUMIFS(Facilities!$S$2:$S$115,Facilities!$G$2:$G$115,A25,Facilities!$H$2:$H$115,"operating")</f>
        <v>0</v>
      </c>
      <c r="G25" s="24" t="n">
        <f aca="false">Facilities!$T$119/30</f>
        <v>123.68035364101</v>
      </c>
      <c r="H25" s="24" t="n">
        <f aca="false">SUMIFS(Facilities!$U$2:$U$115,Facilities!$G$2:$G$115,A25,Facilities!$H$2:$H$115,"operating")</f>
        <v>0</v>
      </c>
      <c r="I25" s="24" t="n">
        <f aca="false">SUMIFS(Facilities!$U$2:$U$115,Facilities!$G$2:$G$115,A25,Facilities!$H$2:$H$115,"under construction")</f>
        <v>2034</v>
      </c>
      <c r="J25" s="25" t="n">
        <f aca="false">SUMIFS(Facilities!$Y$2:$Y$115,Facilities!$G$2:$G$115,A25,Facilities!$H$2:$H$115,"operating")</f>
        <v>0</v>
      </c>
      <c r="K25" s="25" t="n">
        <f aca="false">SUMIFS(Facilities!$V$2:$V$115,Facilities!$G$2:$G$115,A25,Facilities!$H$2:$H$115,"under construction")</f>
        <v>48653280</v>
      </c>
      <c r="L25" s="24" t="n">
        <f aca="false">SUMIFS(Facilities!$S$2:$S$115,Facilities!$G$2:$G$115,A25,Facilities!$H$2:$H$115,"under construction")+SUMIFS(Facilities!$S$2:$S$115,Facilities!$G$2:$G$115,A25,Facilities!$H$2:$H$115,"approved/planned")+SUMIFS(Facilities!$S$2:$S$115,Facilities!$G$2:$G$115,A25,Facilities!$H$2:$H$115,"proposed")</f>
        <v>144</v>
      </c>
      <c r="M25" s="26" t="n">
        <f aca="false">(F25+G25)/(Assumptions!$B$20/30)*1000</f>
        <v>0.486686671852645</v>
      </c>
      <c r="N25" s="13" t="s">
        <v>591</v>
      </c>
      <c r="O25" s="13" t="s">
        <v>592</v>
      </c>
    </row>
    <row r="26" customFormat="false" ht="15" hidden="false" customHeight="false" outlineLevel="0" collapsed="false">
      <c r="A26" s="13" t="n">
        <v>25</v>
      </c>
      <c r="B26" s="24" t="n">
        <f aca="false">COUNTIFS(Facilities!$G$2:$G$115,A26,Facilities!$H$2:$H$115,"operating")</f>
        <v>0</v>
      </c>
      <c r="C26" s="24" t="n">
        <f aca="false">COUNTIFS(Facilities!$G$2:$G$115,A26,Facilities!$H$2:$H$115,"under construction")</f>
        <v>0</v>
      </c>
      <c r="D26" s="24" t="n">
        <f aca="false">COUNTIFS(Facilities!$G$2:$G$115,A26,Facilities!$H$2:$H$115,"approved/planned")+COUNTIFS(Facilities!$G$2:$G$115,A26,Facilities!$H$2:$H$115,"proposed")</f>
        <v>8</v>
      </c>
      <c r="E26" s="24" t="n">
        <f aca="false">SUMIFS(Facilities!$P$2:$P$115,Facilities!$G$2:$G$115,A26)</f>
        <v>0</v>
      </c>
      <c r="F26" s="24" t="n">
        <f aca="false">SUMIFS(Facilities!$S$2:$S$115,Facilities!$G$2:$G$115,A26,Facilities!$H$2:$H$115,"operating")</f>
        <v>0</v>
      </c>
      <c r="G26" s="24" t="n">
        <f aca="false">Facilities!$T$119/30</f>
        <v>123.68035364101</v>
      </c>
      <c r="H26" s="24" t="n">
        <f aca="false">SUMIFS(Facilities!$U$2:$U$115,Facilities!$G$2:$G$115,A26,Facilities!$H$2:$H$115,"operating")</f>
        <v>0</v>
      </c>
      <c r="I26" s="24" t="n">
        <f aca="false">SUMIFS(Facilities!$U$2:$U$115,Facilities!$G$2:$G$115,A26,Facilities!$H$2:$H$115,"under construction")</f>
        <v>0</v>
      </c>
      <c r="J26" s="25" t="n">
        <f aca="false">SUMIFS(Facilities!$Y$2:$Y$115,Facilities!$G$2:$G$115,A26,Facilities!$H$2:$H$115,"operating")</f>
        <v>0</v>
      </c>
      <c r="K26" s="25" t="n">
        <f aca="false">SUMIFS(Facilities!$V$2:$V$115,Facilities!$G$2:$G$115,A26,Facilities!$H$2:$H$115,"under construction")</f>
        <v>0</v>
      </c>
      <c r="L26" s="24" t="n">
        <f aca="false">SUMIFS(Facilities!$S$2:$S$115,Facilities!$G$2:$G$115,A26,Facilities!$H$2:$H$115,"under construction")+SUMIFS(Facilities!$S$2:$S$115,Facilities!$G$2:$G$115,A26,Facilities!$H$2:$H$115,"approved/planned")+SUMIFS(Facilities!$S$2:$S$115,Facilities!$G$2:$G$115,A26,Facilities!$H$2:$H$115,"proposed")</f>
        <v>1980</v>
      </c>
      <c r="M26" s="26" t="n">
        <f aca="false">(F26+G26)/(Assumptions!$B$20/30)*1000</f>
        <v>0.486686671852645</v>
      </c>
      <c r="N26" s="13" t="s">
        <v>593</v>
      </c>
      <c r="O26" s="13" t="s">
        <v>594</v>
      </c>
    </row>
    <row r="27" customFormat="false" ht="15" hidden="false" customHeight="false" outlineLevel="0" collapsed="false">
      <c r="A27" s="13" t="n">
        <v>26</v>
      </c>
      <c r="B27" s="24" t="n">
        <f aca="false">COUNTIFS(Facilities!$G$2:$G$115,A27,Facilities!$H$2:$H$115,"operating")</f>
        <v>0</v>
      </c>
      <c r="C27" s="24" t="n">
        <f aca="false">COUNTIFS(Facilities!$G$2:$G$115,A27,Facilities!$H$2:$H$115,"under construction")</f>
        <v>1</v>
      </c>
      <c r="D27" s="24" t="n">
        <f aca="false">COUNTIFS(Facilities!$G$2:$G$115,A27,Facilities!$H$2:$H$115,"approved/planned")+COUNTIFS(Facilities!$G$2:$G$115,A27,Facilities!$H$2:$H$115,"proposed")</f>
        <v>0</v>
      </c>
      <c r="E27" s="24" t="n">
        <f aca="false">SUMIFS(Facilities!$P$2:$P$115,Facilities!$G$2:$G$115,A27)</f>
        <v>0</v>
      </c>
      <c r="F27" s="24" t="n">
        <f aca="false">SUMIFS(Facilities!$S$2:$S$115,Facilities!$G$2:$G$115,A27,Facilities!$H$2:$H$115,"operating")</f>
        <v>0</v>
      </c>
      <c r="G27" s="24" t="n">
        <f aca="false">Facilities!$T$119/30</f>
        <v>123.68035364101</v>
      </c>
      <c r="H27" s="24" t="n">
        <f aca="false">SUMIFS(Facilities!$U$2:$U$115,Facilities!$G$2:$G$115,A27,Facilities!$H$2:$H$115,"operating")</f>
        <v>0</v>
      </c>
      <c r="I27" s="24" t="n">
        <f aca="false">SUMIFS(Facilities!$U$2:$U$115,Facilities!$G$2:$G$115,A27,Facilities!$H$2:$H$115,"under construction")</f>
        <v>565</v>
      </c>
      <c r="J27" s="25" t="n">
        <f aca="false">SUMIFS(Facilities!$Y$2:$Y$115,Facilities!$G$2:$G$115,A27,Facilities!$H$2:$H$115,"operating")</f>
        <v>0</v>
      </c>
      <c r="K27" s="25" t="n">
        <f aca="false">SUMIFS(Facilities!$V$2:$V$115,Facilities!$G$2:$G$115,A27,Facilities!$H$2:$H$115,"under construction")</f>
        <v>13367900</v>
      </c>
      <c r="L27" s="24" t="n">
        <f aca="false">SUMIFS(Facilities!$S$2:$S$115,Facilities!$G$2:$G$115,A27,Facilities!$H$2:$H$115,"under construction")+SUMIFS(Facilities!$S$2:$S$115,Facilities!$G$2:$G$115,A27,Facilities!$H$2:$H$115,"approved/planned")+SUMIFS(Facilities!$S$2:$S$115,Facilities!$G$2:$G$115,A27,Facilities!$H$2:$H$115,"proposed")</f>
        <v>40</v>
      </c>
      <c r="M27" s="26" t="n">
        <f aca="false">(F27+G27)/(Assumptions!$B$20/30)*1000</f>
        <v>0.486686671852645</v>
      </c>
      <c r="N27" s="13" t="s">
        <v>595</v>
      </c>
      <c r="O27" s="13" t="s">
        <v>596</v>
      </c>
    </row>
    <row r="28" customFormat="false" ht="15" hidden="false" customHeight="false" outlineLevel="0" collapsed="false">
      <c r="A28" s="13" t="n">
        <v>27</v>
      </c>
      <c r="B28" s="24" t="n">
        <f aca="false">COUNTIFS(Facilities!$G$2:$G$115,A28,Facilities!$H$2:$H$115,"operating")</f>
        <v>0</v>
      </c>
      <c r="C28" s="24" t="n">
        <f aca="false">COUNTIFS(Facilities!$G$2:$G$115,A28,Facilities!$H$2:$H$115,"under construction")</f>
        <v>0</v>
      </c>
      <c r="D28" s="24" t="n">
        <f aca="false">COUNTIFS(Facilities!$G$2:$G$115,A28,Facilities!$H$2:$H$115,"approved/planned")+COUNTIFS(Facilities!$G$2:$G$115,A28,Facilities!$H$2:$H$115,"proposed")</f>
        <v>1</v>
      </c>
      <c r="E28" s="24" t="n">
        <f aca="false">SUMIFS(Facilities!$P$2:$P$115,Facilities!$G$2:$G$115,A28)</f>
        <v>0</v>
      </c>
      <c r="F28" s="24" t="n">
        <f aca="false">SUMIFS(Facilities!$S$2:$S$115,Facilities!$G$2:$G$115,A28,Facilities!$H$2:$H$115,"operating")</f>
        <v>0</v>
      </c>
      <c r="G28" s="24" t="n">
        <f aca="false">Facilities!$T$119/30</f>
        <v>123.68035364101</v>
      </c>
      <c r="H28" s="24" t="n">
        <f aca="false">SUMIFS(Facilities!$U$2:$U$115,Facilities!$G$2:$G$115,A28,Facilities!$H$2:$H$115,"operating")</f>
        <v>0</v>
      </c>
      <c r="I28" s="24" t="n">
        <f aca="false">SUMIFS(Facilities!$U$2:$U$115,Facilities!$G$2:$G$115,A28,Facilities!$H$2:$H$115,"under construction")</f>
        <v>0</v>
      </c>
      <c r="J28" s="25" t="n">
        <f aca="false">SUMIFS(Facilities!$Y$2:$Y$115,Facilities!$G$2:$G$115,A28,Facilities!$H$2:$H$115,"operating")</f>
        <v>0</v>
      </c>
      <c r="K28" s="25" t="n">
        <f aca="false">SUMIFS(Facilities!$V$2:$V$115,Facilities!$G$2:$G$115,A28,Facilities!$H$2:$H$115,"under construction")</f>
        <v>0</v>
      </c>
      <c r="L28" s="24" t="n">
        <f aca="false">SUMIFS(Facilities!$S$2:$S$115,Facilities!$G$2:$G$115,A28,Facilities!$H$2:$H$115,"under construction")+SUMIFS(Facilities!$S$2:$S$115,Facilities!$G$2:$G$115,A28,Facilities!$H$2:$H$115,"approved/planned")+SUMIFS(Facilities!$S$2:$S$115,Facilities!$G$2:$G$115,A28,Facilities!$H$2:$H$115,"proposed")</f>
        <v>0</v>
      </c>
      <c r="M28" s="26" t="n">
        <f aca="false">(F28+G28)/(Assumptions!$B$20/30)*1000</f>
        <v>0.486686671852645</v>
      </c>
      <c r="N28" s="13" t="s">
        <v>597</v>
      </c>
      <c r="O28" s="13" t="s">
        <v>598</v>
      </c>
    </row>
    <row r="29" customFormat="false" ht="15" hidden="false" customHeight="false" outlineLevel="0" collapsed="false">
      <c r="A29" s="13" t="n">
        <v>28</v>
      </c>
      <c r="B29" s="24" t="n">
        <f aca="false">COUNTIFS(Facilities!$G$2:$G$115,A29,Facilities!$H$2:$H$115,"operating")</f>
        <v>0</v>
      </c>
      <c r="C29" s="24" t="n">
        <f aca="false">COUNTIFS(Facilities!$G$2:$G$115,A29,Facilities!$H$2:$H$115,"under construction")</f>
        <v>0</v>
      </c>
      <c r="D29" s="24" t="n">
        <f aca="false">COUNTIFS(Facilities!$G$2:$G$115,A29,Facilities!$H$2:$H$115,"approved/planned")+COUNTIFS(Facilities!$G$2:$G$115,A29,Facilities!$H$2:$H$115,"proposed")</f>
        <v>0</v>
      </c>
      <c r="E29" s="24" t="n">
        <f aca="false">SUMIFS(Facilities!$P$2:$P$115,Facilities!$G$2:$G$115,A29)</f>
        <v>0</v>
      </c>
      <c r="F29" s="24" t="n">
        <f aca="false">SUMIFS(Facilities!$S$2:$S$115,Facilities!$G$2:$G$115,A29,Facilities!$H$2:$H$115,"operating")</f>
        <v>0</v>
      </c>
      <c r="G29" s="24" t="n">
        <f aca="false">Facilities!$T$119/30</f>
        <v>123.68035364101</v>
      </c>
      <c r="H29" s="24" t="n">
        <f aca="false">SUMIFS(Facilities!$U$2:$U$115,Facilities!$G$2:$G$115,A29,Facilities!$H$2:$H$115,"operating")</f>
        <v>0</v>
      </c>
      <c r="I29" s="24" t="n">
        <f aca="false">SUMIFS(Facilities!$U$2:$U$115,Facilities!$G$2:$G$115,A29,Facilities!$H$2:$H$115,"under construction")</f>
        <v>0</v>
      </c>
      <c r="J29" s="25" t="n">
        <f aca="false">SUMIFS(Facilities!$Y$2:$Y$115,Facilities!$G$2:$G$115,A29,Facilities!$H$2:$H$115,"operating")</f>
        <v>0</v>
      </c>
      <c r="K29" s="25" t="n">
        <f aca="false">SUMIFS(Facilities!$V$2:$V$115,Facilities!$G$2:$G$115,A29,Facilities!$H$2:$H$115,"under construction")</f>
        <v>0</v>
      </c>
      <c r="L29" s="24" t="n">
        <f aca="false">SUMIFS(Facilities!$S$2:$S$115,Facilities!$G$2:$G$115,A29,Facilities!$H$2:$H$115,"under construction")+SUMIFS(Facilities!$S$2:$S$115,Facilities!$G$2:$G$115,A29,Facilities!$H$2:$H$115,"approved/planned")+SUMIFS(Facilities!$S$2:$S$115,Facilities!$G$2:$G$115,A29,Facilities!$H$2:$H$115,"proposed")</f>
        <v>0</v>
      </c>
      <c r="M29" s="26" t="n">
        <f aca="false">(F29+G29)/(Assumptions!$B$20/30)*1000</f>
        <v>0.486686671852645</v>
      </c>
      <c r="N29" s="13" t="s">
        <v>599</v>
      </c>
      <c r="O29" s="13" t="s">
        <v>600</v>
      </c>
    </row>
    <row r="30" customFormat="false" ht="15" hidden="false" customHeight="false" outlineLevel="0" collapsed="false">
      <c r="A30" s="13" t="n">
        <v>29</v>
      </c>
      <c r="B30" s="24" t="n">
        <f aca="false">COUNTIFS(Facilities!$G$2:$G$115,A30,Facilities!$H$2:$H$115,"operating")</f>
        <v>1</v>
      </c>
      <c r="C30" s="24" t="n">
        <f aca="false">COUNTIFS(Facilities!$G$2:$G$115,A30,Facilities!$H$2:$H$115,"under construction")</f>
        <v>0</v>
      </c>
      <c r="D30" s="24" t="n">
        <f aca="false">COUNTIFS(Facilities!$G$2:$G$115,A30,Facilities!$H$2:$H$115,"approved/planned")+COUNTIFS(Facilities!$G$2:$G$115,A30,Facilities!$H$2:$H$115,"proposed")</f>
        <v>4</v>
      </c>
      <c r="E30" s="24" t="n">
        <f aca="false">SUMIFS(Facilities!$P$2:$P$115,Facilities!$G$2:$G$115,A30)</f>
        <v>0.665886100182564</v>
      </c>
      <c r="F30" s="24" t="n">
        <f aca="false">SUMIFS(Facilities!$S$2:$S$115,Facilities!$G$2:$G$115,A30,Facilities!$H$2:$H$115,"operating")</f>
        <v>3</v>
      </c>
      <c r="G30" s="24" t="n">
        <f aca="false">Facilities!$T$119/30</f>
        <v>123.68035364101</v>
      </c>
      <c r="H30" s="24" t="n">
        <f aca="false">SUMIFS(Facilities!$U$2:$U$115,Facilities!$G$2:$G$115,A30,Facilities!$H$2:$H$115,"operating")</f>
        <v>18.8112823301574</v>
      </c>
      <c r="I30" s="24" t="n">
        <f aca="false">SUMIFS(Facilities!$U$2:$U$115,Facilities!$G$2:$G$115,A30,Facilities!$H$2:$H$115,"under construction")</f>
        <v>0</v>
      </c>
      <c r="J30" s="25" t="n">
        <f aca="false">SUMIFS(Facilities!$Y$2:$Y$115,Facilities!$G$2:$G$115,A30,Facilities!$H$2:$H$115,"operating")</f>
        <v>50874.8333897487</v>
      </c>
      <c r="K30" s="25" t="n">
        <f aca="false">SUMIFS(Facilities!$V$2:$V$115,Facilities!$G$2:$G$115,A30,Facilities!$H$2:$H$115,"under construction")</f>
        <v>0</v>
      </c>
      <c r="L30" s="24" t="n">
        <f aca="false">SUMIFS(Facilities!$S$2:$S$115,Facilities!$G$2:$G$115,A30,Facilities!$H$2:$H$115,"under construction")+SUMIFS(Facilities!$S$2:$S$115,Facilities!$G$2:$G$115,A30,Facilities!$H$2:$H$115,"approved/planned")+SUMIFS(Facilities!$S$2:$S$115,Facilities!$G$2:$G$115,A30,Facilities!$H$2:$H$115,"proposed")</f>
        <v>766</v>
      </c>
      <c r="M30" s="26" t="n">
        <f aca="false">(F30+G30)/(Assumptions!$B$20/30)*1000</f>
        <v>0.498491780526541</v>
      </c>
      <c r="N30" s="13" t="s">
        <v>601</v>
      </c>
      <c r="O30" s="13" t="s">
        <v>602</v>
      </c>
    </row>
    <row r="31" customFormat="false" ht="15" hidden="false" customHeight="false" outlineLevel="0" collapsed="false">
      <c r="A31" s="13" t="n">
        <v>30</v>
      </c>
      <c r="B31" s="24" t="n">
        <f aca="false">COUNTIFS(Facilities!$G$2:$G$115,A31,Facilities!$H$2:$H$115,"operating")</f>
        <v>0</v>
      </c>
      <c r="C31" s="24" t="n">
        <f aca="false">COUNTIFS(Facilities!$G$2:$G$115,A31,Facilities!$H$2:$H$115,"under construction")</f>
        <v>0</v>
      </c>
      <c r="D31" s="24" t="n">
        <f aca="false">COUNTIFS(Facilities!$G$2:$G$115,A31,Facilities!$H$2:$H$115,"approved/planned")+COUNTIFS(Facilities!$G$2:$G$115,A31,Facilities!$H$2:$H$115,"proposed")</f>
        <v>1</v>
      </c>
      <c r="E31" s="24" t="n">
        <f aca="false">SUMIFS(Facilities!$P$2:$P$115,Facilities!$G$2:$G$115,A31)</f>
        <v>0</v>
      </c>
      <c r="F31" s="24" t="n">
        <f aca="false">SUMIFS(Facilities!$S$2:$S$115,Facilities!$G$2:$G$115,A31,Facilities!$H$2:$H$115,"operating")</f>
        <v>0</v>
      </c>
      <c r="G31" s="24" t="n">
        <f aca="false">Facilities!$T$119/30</f>
        <v>123.68035364101</v>
      </c>
      <c r="H31" s="24" t="n">
        <f aca="false">SUMIFS(Facilities!$U$2:$U$115,Facilities!$G$2:$G$115,A31,Facilities!$H$2:$H$115,"operating")</f>
        <v>0</v>
      </c>
      <c r="I31" s="24" t="n">
        <f aca="false">SUMIFS(Facilities!$U$2:$U$115,Facilities!$G$2:$G$115,A31,Facilities!$H$2:$H$115,"under construction")</f>
        <v>0</v>
      </c>
      <c r="J31" s="25" t="n">
        <f aca="false">SUMIFS(Facilities!$Y$2:$Y$115,Facilities!$G$2:$G$115,A31,Facilities!$H$2:$H$115,"operating")</f>
        <v>0</v>
      </c>
      <c r="K31" s="25" t="n">
        <f aca="false">SUMIFS(Facilities!$V$2:$V$115,Facilities!$G$2:$G$115,A31,Facilities!$H$2:$H$115,"under construction")</f>
        <v>0</v>
      </c>
      <c r="L31" s="24" t="n">
        <f aca="false">SUMIFS(Facilities!$S$2:$S$115,Facilities!$G$2:$G$115,A31,Facilities!$H$2:$H$115,"under construction")+SUMIFS(Facilities!$S$2:$S$115,Facilities!$G$2:$G$115,A31,Facilities!$H$2:$H$115,"approved/planned")+SUMIFS(Facilities!$S$2:$S$115,Facilities!$G$2:$G$115,A31,Facilities!$H$2:$H$115,"proposed")</f>
        <v>150</v>
      </c>
      <c r="M31" s="26" t="n">
        <f aca="false">(F31+G31)/(Assumptions!$B$20/30)*1000</f>
        <v>0.486686671852645</v>
      </c>
      <c r="N31" s="13" t="s">
        <v>603</v>
      </c>
      <c r="O31" s="13" t="s">
        <v>604</v>
      </c>
    </row>
    <row r="32" customFormat="false" ht="15" hidden="false" customHeight="false" outlineLevel="0" collapsed="false">
      <c r="A32" s="3" t="s">
        <v>605</v>
      </c>
      <c r="B32" s="22" t="n">
        <f aca="false">SUM(B2:B31)</f>
        <v>67</v>
      </c>
      <c r="C32" s="22" t="n">
        <f aca="false">SUM(C2:C31)</f>
        <v>10</v>
      </c>
      <c r="D32" s="22" t="n">
        <f aca="false">SUM(D2:D31)</f>
        <v>32</v>
      </c>
      <c r="E32" s="22" t="n">
        <f aca="false">SUM(E2:E31)</f>
        <v>1200</v>
      </c>
      <c r="F32" s="22" t="n">
        <f aca="false">SUM(F2:F31)</f>
        <v>1963.18021652396</v>
      </c>
      <c r="G32" s="22" t="n">
        <f aca="false">SUM(G2:G31)</f>
        <v>3710.41060923029</v>
      </c>
      <c r="H32" s="22" t="n">
        <f aca="false">SUM(H2:H31)</f>
        <v>33900</v>
      </c>
      <c r="I32" s="22" t="n">
        <f aca="false">SUM(I2:I31)</f>
        <v>53816.25</v>
      </c>
      <c r="J32" s="23" t="n">
        <f aca="false">SUM(J2:J31)</f>
        <v>85400636.3995539</v>
      </c>
      <c r="K32" s="23" t="n">
        <f aca="false">SUM(K2:K31)</f>
        <v>1104416235</v>
      </c>
      <c r="L32" s="22" t="n">
        <f aca="false">SUM(L2:L31)</f>
        <v>7838.6</v>
      </c>
      <c r="M32" s="19"/>
      <c r="N32" s="19"/>
      <c r="O32" s="19"/>
    </row>
    <row r="33" customFormat="false" ht="15" hidden="false" customHeight="false" outlineLevel="0" collapsed="false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customFormat="false" ht="15" hidden="false" customHeight="false" outlineLevel="0" collapsed="false">
      <c r="A34" s="27" t="s">
        <v>606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customFormat="false" ht="15" hidden="false" customHeight="false" outlineLevel="0" collapsed="false">
      <c r="A35" s="27" t="s">
        <v>607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3" min="2" style="0" width="18"/>
    <col collapsed="false" customWidth="true" hidden="false" outlineLevel="0" max="4" min="4" style="0" width="60"/>
  </cols>
  <sheetData>
    <row r="1" customFormat="false" ht="42" hidden="false" customHeight="true" outlineLevel="0" collapsed="false">
      <c r="A1" s="4" t="s">
        <v>608</v>
      </c>
      <c r="B1" s="4" t="s">
        <v>609</v>
      </c>
      <c r="C1" s="4" t="s">
        <v>610</v>
      </c>
      <c r="D1" s="4" t="s">
        <v>611</v>
      </c>
    </row>
    <row r="2" customFormat="false" ht="15" hidden="false" customHeight="false" outlineLevel="0" collapsed="false">
      <c r="A2" s="28" t="s">
        <v>612</v>
      </c>
      <c r="B2" s="19"/>
      <c r="C2" s="19"/>
      <c r="D2" s="19"/>
    </row>
    <row r="3" customFormat="false" ht="15" hidden="false" customHeight="false" outlineLevel="0" collapsed="false">
      <c r="A3" s="2" t="s">
        <v>613</v>
      </c>
      <c r="B3" s="25" t="n">
        <f aca="false">Facilities!$W$119</f>
        <v>80492685.8582439</v>
      </c>
      <c r="C3" s="29" t="n">
        <f aca="false">B3/Assumptions!$B$20</f>
        <v>10.5580544890033</v>
      </c>
      <c r="D3" s="30" t="s">
        <v>614</v>
      </c>
    </row>
    <row r="4" customFormat="false" ht="15" hidden="false" customHeight="false" outlineLevel="0" collapsed="false">
      <c r="A4" s="2" t="s">
        <v>615</v>
      </c>
      <c r="B4" s="25" t="n">
        <f aca="false">Facilities!$X$119</f>
        <v>4907950.54130991</v>
      </c>
      <c r="C4" s="29" t="n">
        <f aca="false">B4/Assumptions!$B$20</f>
        <v>0.643765438958526</v>
      </c>
      <c r="D4" s="30" t="s">
        <v>614</v>
      </c>
    </row>
    <row r="5" customFormat="false" ht="15" hidden="false" customHeight="false" outlineLevel="0" collapsed="false">
      <c r="A5" s="2" t="s">
        <v>616</v>
      </c>
      <c r="B5" s="25" t="n">
        <f aca="false">Facilities!$V$120/Assumptions!$B$22</f>
        <v>368138745</v>
      </c>
      <c r="C5" s="29" t="n">
        <f aca="false">B5/Assumptions!$B$20</f>
        <v>48.2879765755164</v>
      </c>
      <c r="D5" s="30" t="s">
        <v>617</v>
      </c>
    </row>
    <row r="6" customFormat="false" ht="15" hidden="false" customHeight="false" outlineLevel="0" collapsed="false">
      <c r="A6" s="3" t="s">
        <v>618</v>
      </c>
      <c r="B6" s="25" t="n">
        <f aca="false">SUM(B3:B5)</f>
        <v>453539381.399554</v>
      </c>
      <c r="C6" s="29" t="n">
        <f aca="false">B6/Assumptions!$B$20</f>
        <v>59.4897965034782</v>
      </c>
      <c r="D6" s="30"/>
    </row>
    <row r="7" customFormat="false" ht="15" hidden="false" customHeight="false" outlineLevel="0" collapsed="false">
      <c r="A7" s="28" t="s">
        <v>619</v>
      </c>
      <c r="B7" s="19"/>
      <c r="C7" s="19"/>
      <c r="D7" s="19"/>
    </row>
    <row r="8" customFormat="false" ht="15" hidden="false" customHeight="false" outlineLevel="0" collapsed="false">
      <c r="A8" s="2" t="s">
        <v>620</v>
      </c>
      <c r="B8" s="25" t="n">
        <f aca="false">Assumptions!$B$23</f>
        <v>58500000</v>
      </c>
      <c r="C8" s="29" t="n">
        <f aca="false">B8/Assumptions!$B$20</f>
        <v>7.67332063803202</v>
      </c>
      <c r="D8" s="30" t="s">
        <v>621</v>
      </c>
    </row>
    <row r="9" customFormat="false" ht="15" hidden="false" customHeight="false" outlineLevel="0" collapsed="false">
      <c r="A9" s="2" t="s">
        <v>622</v>
      </c>
      <c r="B9" s="25" t="n">
        <f aca="false">Facilities!$AB$119*Assumptions!$B$24</f>
        <v>5752496.71296326</v>
      </c>
      <c r="C9" s="29" t="n">
        <f aca="false">B9/Assumptions!$B$20</f>
        <v>0.754542764919527</v>
      </c>
      <c r="D9" s="30" t="s">
        <v>623</v>
      </c>
    </row>
    <row r="10" customFormat="false" ht="15" hidden="false" customHeight="false" outlineLevel="0" collapsed="false">
      <c r="A10" s="2" t="s">
        <v>624</v>
      </c>
      <c r="B10" s="25" t="n">
        <f aca="false">Assumptions!$B$25*12*Assumptions!$B$21</f>
        <v>0</v>
      </c>
      <c r="C10" s="29" t="n">
        <f aca="false">B10/Assumptions!$B$20</f>
        <v>0</v>
      </c>
      <c r="D10" s="30" t="s">
        <v>625</v>
      </c>
    </row>
    <row r="11" customFormat="false" ht="15" hidden="false" customHeight="false" outlineLevel="0" collapsed="false">
      <c r="A11" s="3" t="s">
        <v>626</v>
      </c>
      <c r="B11" s="25" t="n">
        <f aca="false">SUM(B8:B10)</f>
        <v>64252496.7129633</v>
      </c>
      <c r="C11" s="29" t="n">
        <f aca="false">B11/Assumptions!$B$20</f>
        <v>8.42786340295155</v>
      </c>
      <c r="D11" s="30"/>
    </row>
    <row r="12" customFormat="false" ht="15" hidden="false" customHeight="false" outlineLevel="0" collapsed="false">
      <c r="A12" s="3"/>
      <c r="B12" s="19"/>
      <c r="C12" s="19"/>
      <c r="D12" s="19"/>
    </row>
    <row r="13" customFormat="false" ht="15" hidden="false" customHeight="false" outlineLevel="0" collapsed="false">
      <c r="A13" s="3" t="s">
        <v>627</v>
      </c>
      <c r="B13" s="25" t="n">
        <f aca="false">B6-B11</f>
        <v>389286884.686591</v>
      </c>
      <c r="C13" s="29" t="n">
        <f aca="false">B13/Assumptions!$B$20</f>
        <v>51.0619331005266</v>
      </c>
      <c r="D13" s="30"/>
    </row>
    <row r="14" customFormat="false" ht="15" hidden="false" customHeight="false" outlineLevel="0" collapsed="false">
      <c r="A14" s="2" t="s">
        <v>628</v>
      </c>
      <c r="B14" s="31" t="n">
        <f aca="false">IF(B11=0,"n/a",B6/B11)</f>
        <v>7.05870440219096</v>
      </c>
      <c r="C14" s="19"/>
      <c r="D14" s="30"/>
    </row>
    <row r="15" customFormat="false" ht="15" hidden="false" customHeight="false" outlineLevel="0" collapsed="false">
      <c r="A15" s="3" t="s">
        <v>629</v>
      </c>
      <c r="B15" s="25" t="n">
        <f aca="false">Assumptions!$B$29-B11</f>
        <v>939747503.287037</v>
      </c>
      <c r="C15" s="29" t="n">
        <f aca="false">B15/Assumptions!$B$20</f>
        <v>123.26468224806</v>
      </c>
      <c r="D15" s="30" t="s">
        <v>630</v>
      </c>
    </row>
    <row r="16" customFormat="false" ht="15" hidden="false" customHeight="false" outlineLevel="0" collapsed="false">
      <c r="A16" s="2" t="s">
        <v>631</v>
      </c>
      <c r="B16" s="25" t="n">
        <f aca="false">Facilities!$Z$119+Facilities!$U$120/Assumptions!$B$22*Assumptions!$B$26</f>
        <v>1773026514.1524</v>
      </c>
      <c r="C16" s="29" t="n">
        <f aca="false">B16/Assumptions!$B$20</f>
        <v>232.564118680745</v>
      </c>
      <c r="D16" s="30"/>
    </row>
    <row r="17" customFormat="false" ht="15" hidden="false" customHeight="false" outlineLevel="0" collapsed="false">
      <c r="A17" s="2" t="s">
        <v>632</v>
      </c>
      <c r="B17" s="24" t="n">
        <f aca="false">Facilities!$AB$119</f>
        <v>3834.99780864217</v>
      </c>
      <c r="C17" s="19"/>
      <c r="D17" s="30"/>
    </row>
    <row r="18" customFormat="false" ht="15" hidden="false" customHeight="false" outlineLevel="0" collapsed="false">
      <c r="A18" s="2" t="s">
        <v>633</v>
      </c>
      <c r="B18" s="32" t="n">
        <f aca="false">B17*325851/Assumptions!$B$20/365</f>
        <v>0.449074912313777</v>
      </c>
      <c r="C18" s="19"/>
      <c r="D18" s="30"/>
    </row>
    <row r="19" customFormat="false" ht="15" hidden="false" customHeight="false" outlineLevel="0" collapsed="false">
      <c r="A19" s="2" t="s">
        <v>634</v>
      </c>
      <c r="B19" s="25" t="n">
        <f aca="false">(B6+Facilities!$Z$119)/B17</f>
        <v>169454.43921441</v>
      </c>
      <c r="C19" s="19"/>
      <c r="D19" s="30"/>
    </row>
    <row r="20" customFormat="false" ht="15" hidden="false" customHeight="false" outlineLevel="0" collapsed="false">
      <c r="A20" s="2" t="s">
        <v>635</v>
      </c>
      <c r="B20" s="25" t="n">
        <f aca="false">Assumptions!$B$27/Assumptions!$B$28</f>
        <v>543.134920634921</v>
      </c>
      <c r="C20" s="19"/>
      <c r="D20" s="30" t="s">
        <v>636</v>
      </c>
    </row>
    <row r="21" customFormat="false" ht="15" hidden="false" customHeight="false" outlineLevel="0" collapsed="false">
      <c r="A21" s="28" t="s">
        <v>637</v>
      </c>
      <c r="B21" s="19"/>
      <c r="C21" s="19"/>
      <c r="D21" s="19"/>
    </row>
    <row r="22" customFormat="false" ht="15" hidden="false" customHeight="false" outlineLevel="0" collapsed="false">
      <c r="A22" s="2" t="s">
        <v>638</v>
      </c>
      <c r="B22" s="25" t="n">
        <f aca="false">B4*0.82+Facilities!$R$120*Assumptions!$B$2*0.65*0.05*(0.8+0.2*0.3449)/Assumptions!$B$22</f>
        <v>206673914.118874</v>
      </c>
      <c r="C22" s="29" t="n">
        <f aca="false">B22/Assumptions!$B$20</f>
        <v>27.1089779581404</v>
      </c>
      <c r="D22" s="30" t="s">
        <v>639</v>
      </c>
    </row>
    <row r="23" customFormat="false" ht="15" hidden="false" customHeight="false" outlineLevel="0" collapsed="false">
      <c r="A23" s="2" t="s">
        <v>640</v>
      </c>
      <c r="B23" s="25" t="n">
        <f aca="false">Facilities!$R$120*Assumptions!$B$2*0.65*0.006/Assumptions!$B$22</f>
        <v>27984450</v>
      </c>
      <c r="C23" s="29" t="n">
        <f aca="false">B23/Assumptions!$B$20</f>
        <v>3.67066081587992</v>
      </c>
      <c r="D23" s="30" t="s">
        <v>641</v>
      </c>
    </row>
    <row r="24" customFormat="false" ht="15" hidden="false" customHeight="false" outlineLevel="0" collapsed="false">
      <c r="A24" s="2" t="s">
        <v>642</v>
      </c>
      <c r="B24" s="25" t="n">
        <f aca="false">B6-B22-B23</f>
        <v>218881017.28068</v>
      </c>
      <c r="C24" s="29" t="n">
        <f aca="false">B24/Assumptions!$B$20</f>
        <v>28.7101577294578</v>
      </c>
      <c r="D24" s="30" t="s">
        <v>643</v>
      </c>
    </row>
    <row r="25" customFormat="false" ht="15" hidden="false" customHeight="false" outlineLevel="0" collapsed="false">
      <c r="A25" s="2" t="s">
        <v>644</v>
      </c>
      <c r="B25" s="24" t="n">
        <f aca="false">B22/Assumptions!$B$30</f>
        <v>2405.98270219877</v>
      </c>
      <c r="C25" s="19"/>
      <c r="D25" s="30" t="s">
        <v>645</v>
      </c>
    </row>
    <row r="26" customFormat="false" ht="15" hidden="false" customHeight="false" outlineLevel="0" collapsed="false">
      <c r="A26" s="2" t="s">
        <v>646</v>
      </c>
      <c r="B26" s="24" t="n">
        <f aca="false">B24/Assumptions!$B$31</f>
        <v>2233.4797681702</v>
      </c>
      <c r="C26" s="19"/>
      <c r="D26" s="30" t="s">
        <v>647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30"/>
    <col collapsed="false" customWidth="true" hidden="false" outlineLevel="0" max="3" min="3" style="0" width="60"/>
    <col collapsed="false" customWidth="true" hidden="false" outlineLevel="0" max="4" min="4" style="0" width="13"/>
    <col collapsed="false" customWidth="true" hidden="false" outlineLevel="0" max="7" min="5" style="0" width="12"/>
    <col collapsed="false" customWidth="true" hidden="false" outlineLevel="0" max="8" min="8" style="0" width="16"/>
    <col collapsed="false" customWidth="true" hidden="false" outlineLevel="0" max="10" min="9" style="0" width="14"/>
    <col collapsed="false" customWidth="true" hidden="false" outlineLevel="0" max="11" min="11" style="0" width="16"/>
    <col collapsed="false" customWidth="true" hidden="false" outlineLevel="0" max="12" min="12" style="0" width="2"/>
    <col collapsed="false" customWidth="true" hidden="false" outlineLevel="0" max="13" min="13" style="0" width="34"/>
    <col collapsed="false" customWidth="true" hidden="false" outlineLevel="0" max="14" min="14" style="0" width="14"/>
  </cols>
  <sheetData>
    <row r="1" customFormat="false" ht="42" hidden="false" customHeight="true" outlineLevel="0" collapsed="false">
      <c r="A1" s="4" t="s">
        <v>648</v>
      </c>
      <c r="B1" s="4" t="s">
        <v>649</v>
      </c>
      <c r="C1" s="4" t="s">
        <v>650</v>
      </c>
      <c r="D1" s="4" t="s">
        <v>651</v>
      </c>
      <c r="E1" s="4" t="s">
        <v>652</v>
      </c>
      <c r="F1" s="4" t="s">
        <v>653</v>
      </c>
      <c r="G1" s="4" t="s">
        <v>654</v>
      </c>
      <c r="H1" s="4" t="s">
        <v>655</v>
      </c>
      <c r="I1" s="4" t="s">
        <v>656</v>
      </c>
      <c r="J1" s="4" t="s">
        <v>657</v>
      </c>
      <c r="K1" s="4" t="s">
        <v>658</v>
      </c>
      <c r="L1" s="19"/>
      <c r="M1" s="3" t="s">
        <v>659</v>
      </c>
      <c r="N1" s="24" t="n">
        <f aca="false">Facilities!$U$119+Facilities!$U$120</f>
        <v>87716.25</v>
      </c>
    </row>
    <row r="2" customFormat="false" ht="15" hidden="false" customHeight="false" outlineLevel="0" collapsed="false">
      <c r="A2" s="19" t="s">
        <v>660</v>
      </c>
      <c r="B2" s="19" t="s">
        <v>661</v>
      </c>
      <c r="C2" s="19" t="s">
        <v>662</v>
      </c>
      <c r="D2" s="9" t="n">
        <v>0.34</v>
      </c>
      <c r="E2" s="8" t="n">
        <v>0.31</v>
      </c>
      <c r="F2" s="9" t="n">
        <v>0.14</v>
      </c>
      <c r="G2" s="9" t="n">
        <v>0.65</v>
      </c>
      <c r="H2" s="24" t="n">
        <f aca="false">$N$1*D2</f>
        <v>29823.525</v>
      </c>
      <c r="I2" s="24" t="n">
        <f aca="false">($N$1-$N$2)*D2*E2+$N$2*D2</f>
        <v>13221.76275</v>
      </c>
      <c r="J2" s="24" t="n">
        <f aca="false">$N$3*D2</f>
        <v>82948.78</v>
      </c>
      <c r="K2" s="24" t="n">
        <f aca="false">$N$3*D2*E2</f>
        <v>25714.1218</v>
      </c>
      <c r="L2" s="19"/>
      <c r="M2" s="3" t="s">
        <v>663</v>
      </c>
      <c r="N2" s="24" t="n">
        <f aca="false">IF(Facilities!$H$69="under construction",Facilities!$U$69,0)</f>
        <v>16950</v>
      </c>
    </row>
    <row r="3" customFormat="false" ht="15" hidden="false" customHeight="false" outlineLevel="0" collapsed="false">
      <c r="A3" s="19" t="s">
        <v>664</v>
      </c>
      <c r="B3" s="19" t="s">
        <v>665</v>
      </c>
      <c r="C3" s="19" t="s">
        <v>666</v>
      </c>
      <c r="D3" s="9" t="n">
        <v>0.05</v>
      </c>
      <c r="E3" s="8" t="n">
        <v>0.163</v>
      </c>
      <c r="F3" s="9" t="n">
        <v>0.07</v>
      </c>
      <c r="G3" s="9" t="n">
        <v>0.35</v>
      </c>
      <c r="H3" s="24" t="n">
        <f aca="false">$N$1*D3</f>
        <v>4385.8125</v>
      </c>
      <c r="I3" s="24" t="n">
        <f aca="false">($N$1-$N$2)*D3*E3+$N$2*D3</f>
        <v>1424.2449375</v>
      </c>
      <c r="J3" s="24" t="n">
        <f aca="false">$N$3*D3</f>
        <v>12198.35</v>
      </c>
      <c r="K3" s="24" t="n">
        <f aca="false">$N$3*D3*E3</f>
        <v>1988.33105</v>
      </c>
      <c r="L3" s="19"/>
      <c r="M3" s="3" t="s">
        <v>657</v>
      </c>
      <c r="N3" s="24" t="n">
        <f aca="false">Facilities!$U$121+Facilities!$U$122</f>
        <v>243967</v>
      </c>
    </row>
    <row r="4" customFormat="false" ht="15" hidden="false" customHeight="false" outlineLevel="0" collapsed="false">
      <c r="A4" s="19" t="s">
        <v>667</v>
      </c>
      <c r="B4" s="19" t="s">
        <v>668</v>
      </c>
      <c r="C4" s="19" t="s">
        <v>669</v>
      </c>
      <c r="D4" s="9" t="n">
        <v>0.14</v>
      </c>
      <c r="E4" s="8" t="n">
        <v>0.243</v>
      </c>
      <c r="F4" s="9" t="n">
        <v>0.09</v>
      </c>
      <c r="G4" s="9" t="n">
        <v>0.55</v>
      </c>
      <c r="H4" s="24" t="n">
        <f aca="false">$N$1*D4</f>
        <v>12280.275</v>
      </c>
      <c r="I4" s="24" t="n">
        <f aca="false">($N$1-$N$2)*D4*E4+$N$2*D4</f>
        <v>4780.467825</v>
      </c>
      <c r="J4" s="24" t="n">
        <f aca="false">$N$3*D4</f>
        <v>34155.38</v>
      </c>
      <c r="K4" s="24" t="n">
        <f aca="false">$N$3*D4*E4</f>
        <v>8299.75734</v>
      </c>
      <c r="L4" s="19"/>
      <c r="M4" s="19"/>
      <c r="N4" s="19"/>
    </row>
    <row r="5" customFormat="false" ht="15" hidden="false" customHeight="false" outlineLevel="0" collapsed="false">
      <c r="A5" s="19" t="s">
        <v>670</v>
      </c>
      <c r="B5" s="19" t="s">
        <v>671</v>
      </c>
      <c r="C5" s="19" t="s">
        <v>672</v>
      </c>
      <c r="D5" s="9" t="n">
        <v>0.02</v>
      </c>
      <c r="E5" s="8" t="n">
        <v>0.243</v>
      </c>
      <c r="F5" s="9" t="n">
        <v>0.09</v>
      </c>
      <c r="G5" s="9" t="n">
        <v>0.55</v>
      </c>
      <c r="H5" s="24" t="n">
        <f aca="false">$N$1*D5</f>
        <v>1754.325</v>
      </c>
      <c r="I5" s="24" t="n">
        <f aca="false">($N$1-$N$2)*D5*E5+$N$2*D5</f>
        <v>682.923975</v>
      </c>
      <c r="J5" s="24" t="n">
        <f aca="false">$N$3*D5</f>
        <v>4879.34</v>
      </c>
      <c r="K5" s="24" t="n">
        <f aca="false">$N$3*D5*E5</f>
        <v>1185.67962</v>
      </c>
      <c r="L5" s="19"/>
      <c r="M5" s="19"/>
      <c r="N5" s="19"/>
    </row>
    <row r="6" customFormat="false" ht="15" hidden="false" customHeight="false" outlineLevel="0" collapsed="false">
      <c r="A6" s="19" t="s">
        <v>673</v>
      </c>
      <c r="B6" s="19" t="s">
        <v>674</v>
      </c>
      <c r="C6" s="19" t="s">
        <v>675</v>
      </c>
      <c r="D6" s="9" t="n">
        <v>0.06</v>
      </c>
      <c r="E6" s="8" t="n">
        <v>0.251</v>
      </c>
      <c r="F6" s="9" t="n">
        <v>0.102</v>
      </c>
      <c r="G6" s="9" t="n">
        <v>0.55</v>
      </c>
      <c r="H6" s="24" t="n">
        <f aca="false">$N$1*D6</f>
        <v>5262.975</v>
      </c>
      <c r="I6" s="24" t="n">
        <f aca="false">($N$1-$N$2)*D6*E6+$N$2*D6</f>
        <v>2082.739725</v>
      </c>
      <c r="J6" s="24" t="n">
        <f aca="false">$N$3*D6</f>
        <v>14638.02</v>
      </c>
      <c r="K6" s="24" t="n">
        <f aca="false">$N$3*D6*E6</f>
        <v>3674.14302</v>
      </c>
      <c r="L6" s="19"/>
      <c r="M6" s="19"/>
      <c r="N6" s="19"/>
    </row>
    <row r="7" customFormat="false" ht="15" hidden="false" customHeight="false" outlineLevel="0" collapsed="false">
      <c r="A7" s="19" t="s">
        <v>676</v>
      </c>
      <c r="B7" s="19" t="s">
        <v>677</v>
      </c>
      <c r="C7" s="19" t="s">
        <v>678</v>
      </c>
      <c r="D7" s="9" t="n">
        <v>0.08</v>
      </c>
      <c r="E7" s="8" t="n">
        <v>0.253</v>
      </c>
      <c r="F7" s="9" t="n">
        <v>0.154</v>
      </c>
      <c r="G7" s="9" t="n">
        <v>0.45</v>
      </c>
      <c r="H7" s="24" t="n">
        <f aca="false">$N$1*D7</f>
        <v>7017.3</v>
      </c>
      <c r="I7" s="24" t="n">
        <f aca="false">($N$1-$N$2)*D7*E7+$N$2*D7</f>
        <v>2788.3089</v>
      </c>
      <c r="J7" s="24" t="n">
        <f aca="false">$N$3*D7</f>
        <v>19517.36</v>
      </c>
      <c r="K7" s="24" t="n">
        <f aca="false">$N$3*D7*E7</f>
        <v>4937.89208</v>
      </c>
      <c r="L7" s="19"/>
      <c r="M7" s="19"/>
      <c r="N7" s="19"/>
    </row>
    <row r="8" customFormat="false" ht="15" hidden="false" customHeight="false" outlineLevel="0" collapsed="false">
      <c r="A8" s="19" t="s">
        <v>679</v>
      </c>
      <c r="B8" s="19" t="s">
        <v>680</v>
      </c>
      <c r="C8" s="19" t="s">
        <v>681</v>
      </c>
      <c r="D8" s="9" t="n">
        <v>0.08</v>
      </c>
      <c r="E8" s="8" t="n">
        <v>0.149</v>
      </c>
      <c r="F8" s="9" t="n">
        <v>0.059</v>
      </c>
      <c r="G8" s="9" t="n">
        <v>0.33</v>
      </c>
      <c r="H8" s="24" t="n">
        <f aca="false">$N$1*D8</f>
        <v>7017.3</v>
      </c>
      <c r="I8" s="24" t="n">
        <f aca="false">($N$1-$N$2)*D8*E8+$N$2*D8</f>
        <v>2199.5337</v>
      </c>
      <c r="J8" s="24" t="n">
        <f aca="false">$N$3*D8</f>
        <v>19517.36</v>
      </c>
      <c r="K8" s="24" t="n">
        <f aca="false">$N$3*D8*E8</f>
        <v>2908.08664</v>
      </c>
      <c r="L8" s="19"/>
      <c r="M8" s="19"/>
      <c r="N8" s="19"/>
    </row>
    <row r="9" customFormat="false" ht="15" hidden="false" customHeight="false" outlineLevel="0" collapsed="false">
      <c r="A9" s="19" t="s">
        <v>682</v>
      </c>
      <c r="B9" s="19" t="s">
        <v>683</v>
      </c>
      <c r="C9" s="19" t="s">
        <v>684</v>
      </c>
      <c r="D9" s="9" t="n">
        <v>0.085</v>
      </c>
      <c r="E9" s="8" t="n">
        <v>0.133</v>
      </c>
      <c r="F9" s="9" t="n">
        <v>0.035</v>
      </c>
      <c r="G9" s="9" t="n">
        <v>0.33</v>
      </c>
      <c r="H9" s="24" t="n">
        <f aca="false">$N$1*D9</f>
        <v>7455.88125</v>
      </c>
      <c r="I9" s="24" t="n">
        <f aca="false">($N$1-$N$2)*D9*E9+$N$2*D9</f>
        <v>2240.76245625</v>
      </c>
      <c r="J9" s="24" t="n">
        <f aca="false">$N$3*D9</f>
        <v>20737.195</v>
      </c>
      <c r="K9" s="24" t="n">
        <f aca="false">$N$3*D9*E9</f>
        <v>2758.046935</v>
      </c>
      <c r="L9" s="19"/>
      <c r="M9" s="19"/>
      <c r="N9" s="19"/>
    </row>
    <row r="10" customFormat="false" ht="15" hidden="false" customHeight="false" outlineLevel="0" collapsed="false">
      <c r="A10" s="19" t="s">
        <v>685</v>
      </c>
      <c r="B10" s="19" t="s">
        <v>686</v>
      </c>
      <c r="C10" s="19" t="s">
        <v>687</v>
      </c>
      <c r="D10" s="9" t="n">
        <v>0.04</v>
      </c>
      <c r="E10" s="8" t="n">
        <v>0.164</v>
      </c>
      <c r="F10" s="9" t="n">
        <v>0.081</v>
      </c>
      <c r="G10" s="9" t="n">
        <v>0.33</v>
      </c>
      <c r="H10" s="24" t="n">
        <f aca="false">$N$1*D10</f>
        <v>3508.65</v>
      </c>
      <c r="I10" s="24" t="n">
        <f aca="false">($N$1-$N$2)*D10*E10+$N$2*D10</f>
        <v>1142.2266</v>
      </c>
      <c r="J10" s="24" t="n">
        <f aca="false">$N$3*D10</f>
        <v>9758.68</v>
      </c>
      <c r="K10" s="24" t="n">
        <f aca="false">$N$3*D10*E10</f>
        <v>1600.42352</v>
      </c>
      <c r="L10" s="19"/>
      <c r="M10" s="19"/>
      <c r="N10" s="19"/>
    </row>
    <row r="11" customFormat="false" ht="15" hidden="false" customHeight="false" outlineLevel="0" collapsed="false">
      <c r="A11" s="19" t="s">
        <v>688</v>
      </c>
      <c r="B11" s="19" t="s">
        <v>689</v>
      </c>
      <c r="C11" s="19" t="s">
        <v>690</v>
      </c>
      <c r="D11" s="9" t="n">
        <v>0.03</v>
      </c>
      <c r="E11" s="8" t="n">
        <v>0.149</v>
      </c>
      <c r="F11" s="9" t="n">
        <v>0.059</v>
      </c>
      <c r="G11" s="9" t="n">
        <v>0.33</v>
      </c>
      <c r="H11" s="24" t="n">
        <f aca="false">$N$1*D11</f>
        <v>2631.4875</v>
      </c>
      <c r="I11" s="24" t="n">
        <f aca="false">($N$1-$N$2)*D11*E11+$N$2*D11</f>
        <v>824.8251375</v>
      </c>
      <c r="J11" s="24" t="n">
        <f aca="false">$N$3*D11</f>
        <v>7319.01</v>
      </c>
      <c r="K11" s="24" t="n">
        <f aca="false">$N$3*D11*E11</f>
        <v>1090.53249</v>
      </c>
      <c r="L11" s="19"/>
      <c r="M11" s="19"/>
      <c r="N11" s="19"/>
    </row>
    <row r="12" customFormat="false" ht="15" hidden="false" customHeight="false" outlineLevel="0" collapsed="false">
      <c r="A12" s="19" t="s">
        <v>691</v>
      </c>
      <c r="B12" s="19" t="s">
        <v>692</v>
      </c>
      <c r="C12" s="19" t="s">
        <v>693</v>
      </c>
      <c r="D12" s="9" t="n">
        <v>0.02</v>
      </c>
      <c r="E12" s="8" t="n">
        <v>0.135</v>
      </c>
      <c r="F12" s="9" t="n">
        <v>0.038</v>
      </c>
      <c r="G12" s="9" t="n">
        <v>0.33</v>
      </c>
      <c r="H12" s="24" t="n">
        <f aca="false">$N$1*D12</f>
        <v>1754.325</v>
      </c>
      <c r="I12" s="24" t="n">
        <f aca="false">($N$1-$N$2)*D12*E12+$N$2*D12</f>
        <v>530.068875</v>
      </c>
      <c r="J12" s="24" t="n">
        <f aca="false">$N$3*D12</f>
        <v>4879.34</v>
      </c>
      <c r="K12" s="24" t="n">
        <f aca="false">$N$3*D12*E12</f>
        <v>658.7109</v>
      </c>
      <c r="L12" s="19"/>
      <c r="M12" s="19"/>
      <c r="N12" s="19"/>
    </row>
    <row r="13" customFormat="false" ht="15" hidden="false" customHeight="false" outlineLevel="0" collapsed="false">
      <c r="A13" s="19" t="s">
        <v>694</v>
      </c>
      <c r="B13" s="19" t="s">
        <v>695</v>
      </c>
      <c r="C13" s="19" t="s">
        <v>696</v>
      </c>
      <c r="D13" s="9" t="n">
        <v>0.02</v>
      </c>
      <c r="E13" s="8" t="n">
        <v>0.195</v>
      </c>
      <c r="F13" s="9" t="n">
        <v>0.068</v>
      </c>
      <c r="G13" s="9" t="n">
        <v>0.45</v>
      </c>
      <c r="H13" s="24" t="n">
        <f aca="false">$N$1*D13</f>
        <v>1754.325</v>
      </c>
      <c r="I13" s="24" t="n">
        <f aca="false">($N$1-$N$2)*D13*E13+$N$2*D13</f>
        <v>614.988375</v>
      </c>
      <c r="J13" s="24" t="n">
        <f aca="false">$N$3*D13</f>
        <v>4879.34</v>
      </c>
      <c r="K13" s="24" t="n">
        <f aca="false">$N$3*D13*E13</f>
        <v>951.4713</v>
      </c>
      <c r="L13" s="19"/>
      <c r="M13" s="19"/>
      <c r="N13" s="19"/>
    </row>
    <row r="14" customFormat="false" ht="15" hidden="false" customHeight="false" outlineLevel="0" collapsed="false">
      <c r="A14" s="19" t="s">
        <v>697</v>
      </c>
      <c r="B14" s="19" t="s">
        <v>698</v>
      </c>
      <c r="C14" s="19" t="s">
        <v>699</v>
      </c>
      <c r="D14" s="9" t="n">
        <v>0.015</v>
      </c>
      <c r="E14" s="8" t="n">
        <v>0.081</v>
      </c>
      <c r="F14" s="9" t="n">
        <v>0.022</v>
      </c>
      <c r="G14" s="9" t="n">
        <v>0.2</v>
      </c>
      <c r="H14" s="24" t="n">
        <f aca="false">$N$1*D14</f>
        <v>1315.74375</v>
      </c>
      <c r="I14" s="24" t="n">
        <f aca="false">($N$1-$N$2)*D14*E14+$N$2*D14</f>
        <v>340.23099375</v>
      </c>
      <c r="J14" s="24" t="n">
        <f aca="false">$N$3*D14</f>
        <v>3659.505</v>
      </c>
      <c r="K14" s="24" t="n">
        <f aca="false">$N$3*D14*E14</f>
        <v>296.419905</v>
      </c>
      <c r="L14" s="19"/>
      <c r="M14" s="19"/>
      <c r="N14" s="19"/>
    </row>
    <row r="15" customFormat="false" ht="15" hidden="false" customHeight="false" outlineLevel="0" collapsed="false">
      <c r="A15" s="19" t="s">
        <v>700</v>
      </c>
      <c r="B15" s="19" t="s">
        <v>701</v>
      </c>
      <c r="C15" s="19" t="s">
        <v>702</v>
      </c>
      <c r="D15" s="9" t="n">
        <v>0.005</v>
      </c>
      <c r="E15" s="8" t="n">
        <v>0.389</v>
      </c>
      <c r="F15" s="9" t="n">
        <v>0.134</v>
      </c>
      <c r="G15" s="9" t="n">
        <v>0.9</v>
      </c>
      <c r="H15" s="24" t="n">
        <f aca="false">$N$1*D15</f>
        <v>438.58125</v>
      </c>
      <c r="I15" s="24" t="n">
        <f aca="false">($N$1-$N$2)*D15*E15+$N$2*D15</f>
        <v>222.39035625</v>
      </c>
      <c r="J15" s="24" t="n">
        <f aca="false">$N$3*D15</f>
        <v>1219.835</v>
      </c>
      <c r="K15" s="24" t="n">
        <f aca="false">$N$3*D15*E15</f>
        <v>474.515815</v>
      </c>
      <c r="L15" s="19"/>
      <c r="M15" s="19"/>
      <c r="N15" s="19"/>
    </row>
    <row r="16" customFormat="false" ht="15" hidden="false" customHeight="false" outlineLevel="0" collapsed="false">
      <c r="A16" s="19" t="s">
        <v>703</v>
      </c>
      <c r="B16" s="19" t="s">
        <v>704</v>
      </c>
      <c r="C16" s="19" t="s">
        <v>705</v>
      </c>
      <c r="D16" s="9" t="n">
        <v>0.015</v>
      </c>
      <c r="E16" s="8" t="n">
        <v>0.138</v>
      </c>
      <c r="F16" s="9" t="n">
        <v>0.042</v>
      </c>
      <c r="G16" s="9" t="n">
        <v>0.33</v>
      </c>
      <c r="H16" s="24" t="n">
        <f aca="false">$N$1*D16</f>
        <v>1315.74375</v>
      </c>
      <c r="I16" s="24" t="n">
        <f aca="false">($N$1-$N$2)*D16*E16+$N$2*D16</f>
        <v>400.7361375</v>
      </c>
      <c r="J16" s="24" t="n">
        <f aca="false">$N$3*D16</f>
        <v>3659.505</v>
      </c>
      <c r="K16" s="24" t="n">
        <f aca="false">$N$3*D16*E16</f>
        <v>505.01169</v>
      </c>
      <c r="L16" s="19"/>
      <c r="M16" s="19"/>
      <c r="N16" s="19"/>
    </row>
    <row r="17" customFormat="false" ht="15" hidden="false" customHeight="false" outlineLevel="0" collapsed="false">
      <c r="A17" s="3" t="s">
        <v>706</v>
      </c>
      <c r="B17" s="19"/>
      <c r="C17" s="19"/>
      <c r="D17" s="33" t="n">
        <f aca="false">SUM(D2:D16)</f>
        <v>1</v>
      </c>
      <c r="E17" s="33" t="n">
        <f aca="false">I17/H17</f>
        <v>0.381870072463768</v>
      </c>
      <c r="F17" s="19"/>
      <c r="G17" s="19"/>
      <c r="H17" s="22" t="n">
        <f aca="false">SUM(H2:H16)</f>
        <v>87716.25</v>
      </c>
      <c r="I17" s="22" t="n">
        <f aca="false">SUM(I2:I16)</f>
        <v>33496.21074375</v>
      </c>
      <c r="J17" s="22" t="n">
        <f aca="false">SUM(J2:J16)</f>
        <v>243967</v>
      </c>
      <c r="K17" s="22" t="n">
        <f aca="false">SUM(K2:K16)</f>
        <v>57043.144105</v>
      </c>
      <c r="L17" s="19"/>
      <c r="M17" s="19"/>
      <c r="N17" s="19"/>
    </row>
    <row r="18" customFormat="false" ht="15" hidden="false" customHeight="false" outlineLevel="0" collapsed="false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</row>
    <row r="19" customFormat="false" ht="15" hidden="false" customHeight="false" outlineLevel="0" collapsed="false">
      <c r="A19" s="27" t="s">
        <v>707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40"/>
    <col collapsed="false" customWidth="true" hidden="false" outlineLevel="0" max="3" min="3" style="0" width="60"/>
    <col collapsed="false" customWidth="true" hidden="false" outlineLevel="0" max="4" min="4" style="0" width="12"/>
    <col collapsed="false" customWidth="true" hidden="false" outlineLevel="0" max="5" min="5" style="0" width="80"/>
  </cols>
  <sheetData>
    <row r="1" customFormat="false" ht="42" hidden="false" customHeight="true" outlineLevel="0" collapsed="false">
      <c r="A1" s="4" t="s">
        <v>708</v>
      </c>
      <c r="B1" s="4" t="s">
        <v>96</v>
      </c>
      <c r="C1" s="4" t="s">
        <v>709</v>
      </c>
      <c r="D1" s="4" t="s">
        <v>710</v>
      </c>
      <c r="E1" s="4" t="s">
        <v>711</v>
      </c>
    </row>
    <row r="2" customFormat="false" ht="15" hidden="false" customHeight="false" outlineLevel="0" collapsed="false">
      <c r="A2" s="19" t="s">
        <v>123</v>
      </c>
      <c r="B2" s="19" t="s">
        <v>124</v>
      </c>
      <c r="C2" s="19" t="s">
        <v>712</v>
      </c>
      <c r="D2" s="19" t="s">
        <v>713</v>
      </c>
      <c r="E2" s="34" t="s">
        <v>714</v>
      </c>
    </row>
    <row r="3" customFormat="false" ht="15" hidden="false" customHeight="false" outlineLevel="0" collapsed="false">
      <c r="A3" s="19" t="s">
        <v>123</v>
      </c>
      <c r="B3" s="19" t="s">
        <v>124</v>
      </c>
      <c r="C3" s="19" t="s">
        <v>715</v>
      </c>
      <c r="D3" s="19" t="s">
        <v>713</v>
      </c>
      <c r="E3" s="34" t="s">
        <v>716</v>
      </c>
    </row>
    <row r="4" customFormat="false" ht="15" hidden="false" customHeight="false" outlineLevel="0" collapsed="false">
      <c r="A4" s="19" t="s">
        <v>123</v>
      </c>
      <c r="B4" s="19" t="s">
        <v>124</v>
      </c>
      <c r="C4" s="19" t="s">
        <v>717</v>
      </c>
      <c r="D4" s="19"/>
      <c r="E4" s="34" t="s">
        <v>718</v>
      </c>
    </row>
    <row r="5" customFormat="false" ht="15" hidden="false" customHeight="false" outlineLevel="0" collapsed="false">
      <c r="A5" s="19" t="s">
        <v>123</v>
      </c>
      <c r="B5" s="19" t="s">
        <v>124</v>
      </c>
      <c r="C5" s="19" t="s">
        <v>719</v>
      </c>
      <c r="D5" s="19"/>
      <c r="E5" s="34" t="s">
        <v>720</v>
      </c>
    </row>
    <row r="6" customFormat="false" ht="15" hidden="false" customHeight="false" outlineLevel="0" collapsed="false">
      <c r="A6" s="19" t="s">
        <v>123</v>
      </c>
      <c r="B6" s="19" t="s">
        <v>124</v>
      </c>
      <c r="C6" s="19" t="s">
        <v>721</v>
      </c>
      <c r="D6" s="19"/>
      <c r="E6" s="34" t="s">
        <v>722</v>
      </c>
    </row>
    <row r="7" customFormat="false" ht="15" hidden="false" customHeight="false" outlineLevel="0" collapsed="false">
      <c r="A7" s="19" t="s">
        <v>123</v>
      </c>
      <c r="B7" s="19" t="s">
        <v>124</v>
      </c>
      <c r="C7" s="19" t="s">
        <v>723</v>
      </c>
      <c r="D7" s="19" t="s">
        <v>713</v>
      </c>
      <c r="E7" s="34" t="s">
        <v>724</v>
      </c>
    </row>
    <row r="8" customFormat="false" ht="15" hidden="false" customHeight="false" outlineLevel="0" collapsed="false">
      <c r="A8" s="19" t="s">
        <v>130</v>
      </c>
      <c r="B8" s="19" t="s">
        <v>131</v>
      </c>
      <c r="C8" s="19" t="s">
        <v>725</v>
      </c>
      <c r="D8" s="19"/>
      <c r="E8" s="34" t="s">
        <v>726</v>
      </c>
    </row>
    <row r="9" customFormat="false" ht="15" hidden="false" customHeight="false" outlineLevel="0" collapsed="false">
      <c r="A9" s="19" t="s">
        <v>130</v>
      </c>
      <c r="B9" s="19" t="s">
        <v>131</v>
      </c>
      <c r="C9" s="19" t="s">
        <v>727</v>
      </c>
      <c r="D9" s="19"/>
      <c r="E9" s="34" t="s">
        <v>728</v>
      </c>
    </row>
    <row r="10" customFormat="false" ht="15" hidden="false" customHeight="false" outlineLevel="0" collapsed="false">
      <c r="A10" s="19" t="s">
        <v>130</v>
      </c>
      <c r="B10" s="19" t="s">
        <v>131</v>
      </c>
      <c r="C10" s="19" t="s">
        <v>723</v>
      </c>
      <c r="D10" s="19" t="s">
        <v>713</v>
      </c>
      <c r="E10" s="34" t="s">
        <v>729</v>
      </c>
    </row>
    <row r="11" customFormat="false" ht="15" hidden="false" customHeight="false" outlineLevel="0" collapsed="false">
      <c r="A11" s="19" t="s">
        <v>135</v>
      </c>
      <c r="B11" s="19" t="s">
        <v>136</v>
      </c>
      <c r="C11" s="19" t="s">
        <v>730</v>
      </c>
      <c r="D11" s="19"/>
      <c r="E11" s="34" t="s">
        <v>731</v>
      </c>
    </row>
    <row r="12" customFormat="false" ht="15" hidden="false" customHeight="false" outlineLevel="0" collapsed="false">
      <c r="A12" s="19" t="s">
        <v>135</v>
      </c>
      <c r="B12" s="19" t="s">
        <v>136</v>
      </c>
      <c r="C12" s="19" t="s">
        <v>732</v>
      </c>
      <c r="D12" s="19"/>
      <c r="E12" s="34" t="s">
        <v>733</v>
      </c>
    </row>
    <row r="13" customFormat="false" ht="15" hidden="false" customHeight="false" outlineLevel="0" collapsed="false">
      <c r="A13" s="19" t="s">
        <v>135</v>
      </c>
      <c r="B13" s="19" t="s">
        <v>136</v>
      </c>
      <c r="C13" s="19" t="s">
        <v>734</v>
      </c>
      <c r="D13" s="19"/>
      <c r="E13" s="34" t="s">
        <v>735</v>
      </c>
    </row>
    <row r="14" customFormat="false" ht="15" hidden="false" customHeight="false" outlineLevel="0" collapsed="false">
      <c r="A14" s="19" t="s">
        <v>135</v>
      </c>
      <c r="B14" s="19" t="s">
        <v>136</v>
      </c>
      <c r="C14" s="19" t="s">
        <v>736</v>
      </c>
      <c r="D14" s="19"/>
      <c r="E14" s="34" t="s">
        <v>737</v>
      </c>
    </row>
    <row r="15" customFormat="false" ht="15" hidden="false" customHeight="false" outlineLevel="0" collapsed="false">
      <c r="A15" s="19" t="s">
        <v>135</v>
      </c>
      <c r="B15" s="19" t="s">
        <v>136</v>
      </c>
      <c r="C15" s="19" t="s">
        <v>738</v>
      </c>
      <c r="D15" s="19"/>
      <c r="E15" s="34" t="s">
        <v>739</v>
      </c>
    </row>
    <row r="16" customFormat="false" ht="15" hidden="false" customHeight="false" outlineLevel="0" collapsed="false">
      <c r="A16" s="19" t="s">
        <v>135</v>
      </c>
      <c r="B16" s="19" t="s">
        <v>136</v>
      </c>
      <c r="C16" s="19" t="s">
        <v>740</v>
      </c>
      <c r="D16" s="19"/>
      <c r="E16" s="34" t="s">
        <v>741</v>
      </c>
    </row>
    <row r="17" customFormat="false" ht="15" hidden="false" customHeight="false" outlineLevel="0" collapsed="false">
      <c r="A17" s="19" t="s">
        <v>135</v>
      </c>
      <c r="B17" s="19" t="s">
        <v>136</v>
      </c>
      <c r="C17" s="19" t="s">
        <v>723</v>
      </c>
      <c r="D17" s="19" t="s">
        <v>713</v>
      </c>
      <c r="E17" s="34" t="s">
        <v>742</v>
      </c>
    </row>
    <row r="18" customFormat="false" ht="15" hidden="false" customHeight="false" outlineLevel="0" collapsed="false">
      <c r="A18" s="19" t="s">
        <v>139</v>
      </c>
      <c r="B18" s="19" t="s">
        <v>140</v>
      </c>
      <c r="C18" s="19" t="s">
        <v>743</v>
      </c>
      <c r="D18" s="19"/>
      <c r="E18" s="34" t="s">
        <v>744</v>
      </c>
    </row>
    <row r="19" customFormat="false" ht="15" hidden="false" customHeight="false" outlineLevel="0" collapsed="false">
      <c r="A19" s="19" t="s">
        <v>139</v>
      </c>
      <c r="B19" s="19" t="s">
        <v>140</v>
      </c>
      <c r="C19" s="19" t="s">
        <v>745</v>
      </c>
      <c r="D19" s="19"/>
      <c r="E19" s="34" t="s">
        <v>746</v>
      </c>
    </row>
    <row r="20" customFormat="false" ht="15" hidden="false" customHeight="false" outlineLevel="0" collapsed="false">
      <c r="A20" s="19" t="s">
        <v>139</v>
      </c>
      <c r="B20" s="19" t="s">
        <v>140</v>
      </c>
      <c r="C20" s="19" t="s">
        <v>747</v>
      </c>
      <c r="D20" s="19"/>
      <c r="E20" s="34" t="s">
        <v>748</v>
      </c>
    </row>
    <row r="21" customFormat="false" ht="15" hidden="false" customHeight="false" outlineLevel="0" collapsed="false">
      <c r="A21" s="19" t="s">
        <v>139</v>
      </c>
      <c r="B21" s="19" t="s">
        <v>140</v>
      </c>
      <c r="C21" s="19" t="s">
        <v>749</v>
      </c>
      <c r="D21" s="19"/>
      <c r="E21" s="34" t="s">
        <v>750</v>
      </c>
    </row>
    <row r="22" customFormat="false" ht="15" hidden="false" customHeight="false" outlineLevel="0" collapsed="false">
      <c r="A22" s="19" t="s">
        <v>139</v>
      </c>
      <c r="B22" s="19" t="s">
        <v>140</v>
      </c>
      <c r="C22" s="19" t="s">
        <v>723</v>
      </c>
      <c r="D22" s="19" t="s">
        <v>713</v>
      </c>
      <c r="E22" s="34" t="s">
        <v>751</v>
      </c>
    </row>
    <row r="23" customFormat="false" ht="15" hidden="false" customHeight="false" outlineLevel="0" collapsed="false">
      <c r="A23" s="19" t="s">
        <v>143</v>
      </c>
      <c r="B23" s="19" t="s">
        <v>144</v>
      </c>
      <c r="C23" s="19" t="s">
        <v>752</v>
      </c>
      <c r="D23" s="19"/>
      <c r="E23" s="34" t="s">
        <v>753</v>
      </c>
    </row>
    <row r="24" customFormat="false" ht="15" hidden="false" customHeight="false" outlineLevel="0" collapsed="false">
      <c r="A24" s="19" t="s">
        <v>143</v>
      </c>
      <c r="B24" s="19" t="s">
        <v>144</v>
      </c>
      <c r="C24" s="19" t="s">
        <v>754</v>
      </c>
      <c r="D24" s="19" t="s">
        <v>755</v>
      </c>
      <c r="E24" s="34" t="s">
        <v>756</v>
      </c>
    </row>
    <row r="25" customFormat="false" ht="15" hidden="false" customHeight="false" outlineLevel="0" collapsed="false">
      <c r="A25" s="19" t="s">
        <v>143</v>
      </c>
      <c r="B25" s="19" t="s">
        <v>144</v>
      </c>
      <c r="C25" s="19" t="s">
        <v>723</v>
      </c>
      <c r="D25" s="19" t="s">
        <v>713</v>
      </c>
      <c r="E25" s="34" t="s">
        <v>757</v>
      </c>
    </row>
    <row r="26" customFormat="false" ht="15" hidden="false" customHeight="false" outlineLevel="0" collapsed="false">
      <c r="A26" s="19" t="s">
        <v>143</v>
      </c>
      <c r="B26" s="19" t="s">
        <v>144</v>
      </c>
      <c r="C26" s="19" t="s">
        <v>758</v>
      </c>
      <c r="D26" s="19" t="s">
        <v>713</v>
      </c>
      <c r="E26" s="34" t="s">
        <v>759</v>
      </c>
    </row>
    <row r="27" customFormat="false" ht="15" hidden="false" customHeight="false" outlineLevel="0" collapsed="false">
      <c r="A27" s="19" t="s">
        <v>147</v>
      </c>
      <c r="B27" s="19" t="s">
        <v>148</v>
      </c>
      <c r="C27" s="19" t="s">
        <v>715</v>
      </c>
      <c r="D27" s="19" t="s">
        <v>713</v>
      </c>
      <c r="E27" s="34" t="s">
        <v>716</v>
      </c>
    </row>
    <row r="28" customFormat="false" ht="15" hidden="false" customHeight="false" outlineLevel="0" collapsed="false">
      <c r="A28" s="19" t="s">
        <v>147</v>
      </c>
      <c r="B28" s="19" t="s">
        <v>148</v>
      </c>
      <c r="C28" s="19" t="s">
        <v>760</v>
      </c>
      <c r="D28" s="19"/>
      <c r="E28" s="34" t="s">
        <v>761</v>
      </c>
    </row>
    <row r="29" customFormat="false" ht="15" hidden="false" customHeight="false" outlineLevel="0" collapsed="false">
      <c r="A29" s="19" t="s">
        <v>147</v>
      </c>
      <c r="B29" s="19" t="s">
        <v>148</v>
      </c>
      <c r="C29" s="19" t="s">
        <v>723</v>
      </c>
      <c r="D29" s="19" t="s">
        <v>713</v>
      </c>
      <c r="E29" s="34" t="s">
        <v>762</v>
      </c>
    </row>
    <row r="30" customFormat="false" ht="15" hidden="false" customHeight="false" outlineLevel="0" collapsed="false">
      <c r="A30" s="19" t="s">
        <v>152</v>
      </c>
      <c r="B30" s="19" t="s">
        <v>153</v>
      </c>
      <c r="C30" s="19" t="s">
        <v>715</v>
      </c>
      <c r="D30" s="19" t="s">
        <v>713</v>
      </c>
      <c r="E30" s="34" t="s">
        <v>716</v>
      </c>
    </row>
    <row r="31" customFormat="false" ht="15" hidden="false" customHeight="false" outlineLevel="0" collapsed="false">
      <c r="A31" s="19" t="s">
        <v>152</v>
      </c>
      <c r="B31" s="19" t="s">
        <v>153</v>
      </c>
      <c r="C31" s="19" t="s">
        <v>763</v>
      </c>
      <c r="D31" s="19"/>
      <c r="E31" s="34" t="s">
        <v>764</v>
      </c>
    </row>
    <row r="32" customFormat="false" ht="15" hidden="false" customHeight="false" outlineLevel="0" collapsed="false">
      <c r="A32" s="19" t="s">
        <v>152</v>
      </c>
      <c r="B32" s="19" t="s">
        <v>153</v>
      </c>
      <c r="C32" s="19" t="s">
        <v>723</v>
      </c>
      <c r="D32" s="19" t="s">
        <v>713</v>
      </c>
      <c r="E32" s="34" t="s">
        <v>765</v>
      </c>
    </row>
    <row r="33" customFormat="false" ht="15" hidden="false" customHeight="false" outlineLevel="0" collapsed="false">
      <c r="A33" s="19" t="s">
        <v>157</v>
      </c>
      <c r="B33" s="19" t="s">
        <v>158</v>
      </c>
      <c r="C33" s="19" t="s">
        <v>758</v>
      </c>
      <c r="D33" s="19" t="s">
        <v>713</v>
      </c>
      <c r="E33" s="34" t="s">
        <v>759</v>
      </c>
    </row>
    <row r="34" customFormat="false" ht="15" hidden="false" customHeight="false" outlineLevel="0" collapsed="false">
      <c r="A34" s="19" t="s">
        <v>157</v>
      </c>
      <c r="B34" s="19" t="s">
        <v>158</v>
      </c>
      <c r="C34" s="19" t="s">
        <v>712</v>
      </c>
      <c r="D34" s="19" t="s">
        <v>713</v>
      </c>
      <c r="E34" s="34" t="s">
        <v>714</v>
      </c>
    </row>
    <row r="35" customFormat="false" ht="15" hidden="false" customHeight="false" outlineLevel="0" collapsed="false">
      <c r="A35" s="19" t="s">
        <v>157</v>
      </c>
      <c r="B35" s="19" t="s">
        <v>158</v>
      </c>
      <c r="C35" s="19" t="s">
        <v>766</v>
      </c>
      <c r="D35" s="19"/>
      <c r="E35" s="34" t="s">
        <v>767</v>
      </c>
    </row>
    <row r="36" customFormat="false" ht="15" hidden="false" customHeight="false" outlineLevel="0" collapsed="false">
      <c r="A36" s="19" t="s">
        <v>157</v>
      </c>
      <c r="B36" s="19" t="s">
        <v>158</v>
      </c>
      <c r="C36" s="19" t="s">
        <v>768</v>
      </c>
      <c r="D36" s="19"/>
      <c r="E36" s="34" t="s">
        <v>769</v>
      </c>
    </row>
    <row r="37" customFormat="false" ht="15" hidden="false" customHeight="false" outlineLevel="0" collapsed="false">
      <c r="A37" s="19" t="s">
        <v>157</v>
      </c>
      <c r="B37" s="19" t="s">
        <v>158</v>
      </c>
      <c r="C37" s="19" t="s">
        <v>770</v>
      </c>
      <c r="D37" s="19"/>
      <c r="E37" s="34" t="s">
        <v>771</v>
      </c>
    </row>
    <row r="38" customFormat="false" ht="15" hidden="false" customHeight="false" outlineLevel="0" collapsed="false">
      <c r="A38" s="19" t="s">
        <v>157</v>
      </c>
      <c r="B38" s="19" t="s">
        <v>158</v>
      </c>
      <c r="C38" s="19" t="s">
        <v>723</v>
      </c>
      <c r="D38" s="19" t="s">
        <v>713</v>
      </c>
      <c r="E38" s="34" t="s">
        <v>772</v>
      </c>
    </row>
    <row r="39" customFormat="false" ht="15" hidden="false" customHeight="false" outlineLevel="0" collapsed="false">
      <c r="A39" s="19" t="s">
        <v>161</v>
      </c>
      <c r="B39" s="19" t="s">
        <v>162</v>
      </c>
      <c r="C39" s="19" t="s">
        <v>758</v>
      </c>
      <c r="D39" s="19" t="s">
        <v>713</v>
      </c>
      <c r="E39" s="34" t="s">
        <v>759</v>
      </c>
    </row>
    <row r="40" customFormat="false" ht="15" hidden="false" customHeight="false" outlineLevel="0" collapsed="false">
      <c r="A40" s="19" t="s">
        <v>161</v>
      </c>
      <c r="B40" s="19" t="s">
        <v>162</v>
      </c>
      <c r="C40" s="19" t="s">
        <v>712</v>
      </c>
      <c r="D40" s="19" t="s">
        <v>713</v>
      </c>
      <c r="E40" s="34" t="s">
        <v>714</v>
      </c>
    </row>
    <row r="41" customFormat="false" ht="15" hidden="false" customHeight="false" outlineLevel="0" collapsed="false">
      <c r="A41" s="19" t="s">
        <v>161</v>
      </c>
      <c r="B41" s="19" t="s">
        <v>162</v>
      </c>
      <c r="C41" s="19" t="s">
        <v>773</v>
      </c>
      <c r="D41" s="19"/>
      <c r="E41" s="34" t="s">
        <v>774</v>
      </c>
    </row>
    <row r="42" customFormat="false" ht="15" hidden="false" customHeight="false" outlineLevel="0" collapsed="false">
      <c r="A42" s="19" t="s">
        <v>161</v>
      </c>
      <c r="B42" s="19" t="s">
        <v>162</v>
      </c>
      <c r="C42" s="19" t="s">
        <v>723</v>
      </c>
      <c r="D42" s="19" t="s">
        <v>713</v>
      </c>
      <c r="E42" s="34" t="s">
        <v>775</v>
      </c>
    </row>
    <row r="43" customFormat="false" ht="15" hidden="false" customHeight="false" outlineLevel="0" collapsed="false">
      <c r="A43" s="19" t="s">
        <v>165</v>
      </c>
      <c r="B43" s="19" t="s">
        <v>166</v>
      </c>
      <c r="C43" s="19" t="s">
        <v>776</v>
      </c>
      <c r="D43" s="19"/>
      <c r="E43" s="34" t="s">
        <v>777</v>
      </c>
    </row>
    <row r="44" customFormat="false" ht="15" hidden="false" customHeight="false" outlineLevel="0" collapsed="false">
      <c r="A44" s="19" t="s">
        <v>165</v>
      </c>
      <c r="B44" s="19" t="s">
        <v>166</v>
      </c>
      <c r="C44" s="19" t="s">
        <v>723</v>
      </c>
      <c r="D44" s="19" t="s">
        <v>713</v>
      </c>
      <c r="E44" s="34" t="s">
        <v>778</v>
      </c>
    </row>
    <row r="45" customFormat="false" ht="15" hidden="false" customHeight="false" outlineLevel="0" collapsed="false">
      <c r="A45" s="19" t="s">
        <v>170</v>
      </c>
      <c r="B45" s="19" t="s">
        <v>171</v>
      </c>
      <c r="C45" s="19" t="s">
        <v>779</v>
      </c>
      <c r="D45" s="19"/>
      <c r="E45" s="34" t="s">
        <v>780</v>
      </c>
    </row>
    <row r="46" customFormat="false" ht="15" hidden="false" customHeight="false" outlineLevel="0" collapsed="false">
      <c r="A46" s="19" t="s">
        <v>170</v>
      </c>
      <c r="B46" s="19" t="s">
        <v>171</v>
      </c>
      <c r="C46" s="19" t="s">
        <v>781</v>
      </c>
      <c r="D46" s="19"/>
      <c r="E46" s="34" t="s">
        <v>782</v>
      </c>
    </row>
    <row r="47" customFormat="false" ht="15" hidden="false" customHeight="false" outlineLevel="0" collapsed="false">
      <c r="A47" s="19" t="s">
        <v>170</v>
      </c>
      <c r="B47" s="19" t="s">
        <v>171</v>
      </c>
      <c r="C47" s="19" t="s">
        <v>783</v>
      </c>
      <c r="D47" s="19"/>
      <c r="E47" s="34" t="s">
        <v>784</v>
      </c>
    </row>
    <row r="48" customFormat="false" ht="15" hidden="false" customHeight="false" outlineLevel="0" collapsed="false">
      <c r="A48" s="19" t="s">
        <v>170</v>
      </c>
      <c r="B48" s="19" t="s">
        <v>171</v>
      </c>
      <c r="C48" s="19" t="s">
        <v>785</v>
      </c>
      <c r="D48" s="19"/>
      <c r="E48" s="34" t="s">
        <v>786</v>
      </c>
    </row>
    <row r="49" customFormat="false" ht="15" hidden="false" customHeight="false" outlineLevel="0" collapsed="false">
      <c r="A49" s="19" t="s">
        <v>170</v>
      </c>
      <c r="B49" s="19" t="s">
        <v>171</v>
      </c>
      <c r="C49" s="19" t="s">
        <v>787</v>
      </c>
      <c r="D49" s="19"/>
      <c r="E49" s="34" t="s">
        <v>788</v>
      </c>
    </row>
    <row r="50" customFormat="false" ht="15" hidden="false" customHeight="false" outlineLevel="0" collapsed="false">
      <c r="A50" s="19" t="s">
        <v>170</v>
      </c>
      <c r="B50" s="19" t="s">
        <v>171</v>
      </c>
      <c r="C50" s="19" t="s">
        <v>789</v>
      </c>
      <c r="D50" s="19"/>
      <c r="E50" s="34" t="s">
        <v>790</v>
      </c>
    </row>
    <row r="51" customFormat="false" ht="15" hidden="false" customHeight="false" outlineLevel="0" collapsed="false">
      <c r="A51" s="19" t="s">
        <v>170</v>
      </c>
      <c r="B51" s="19" t="s">
        <v>171</v>
      </c>
      <c r="C51" s="19" t="s">
        <v>791</v>
      </c>
      <c r="D51" s="19"/>
      <c r="E51" s="34" t="s">
        <v>792</v>
      </c>
    </row>
    <row r="52" customFormat="false" ht="15" hidden="false" customHeight="false" outlineLevel="0" collapsed="false">
      <c r="A52" s="19" t="s">
        <v>170</v>
      </c>
      <c r="B52" s="19" t="s">
        <v>171</v>
      </c>
      <c r="C52" s="19" t="s">
        <v>723</v>
      </c>
      <c r="D52" s="19" t="s">
        <v>713</v>
      </c>
      <c r="E52" s="34" t="s">
        <v>793</v>
      </c>
    </row>
    <row r="53" customFormat="false" ht="15" hidden="false" customHeight="false" outlineLevel="0" collapsed="false">
      <c r="A53" s="19" t="s">
        <v>174</v>
      </c>
      <c r="B53" s="19" t="s">
        <v>175</v>
      </c>
      <c r="C53" s="19" t="s">
        <v>794</v>
      </c>
      <c r="D53" s="19"/>
      <c r="E53" s="34" t="s">
        <v>795</v>
      </c>
    </row>
    <row r="54" customFormat="false" ht="15" hidden="false" customHeight="false" outlineLevel="0" collapsed="false">
      <c r="A54" s="19" t="s">
        <v>174</v>
      </c>
      <c r="B54" s="19" t="s">
        <v>175</v>
      </c>
      <c r="C54" s="19" t="s">
        <v>796</v>
      </c>
      <c r="D54" s="19"/>
      <c r="E54" s="34" t="s">
        <v>797</v>
      </c>
    </row>
    <row r="55" customFormat="false" ht="15" hidden="false" customHeight="false" outlineLevel="0" collapsed="false">
      <c r="A55" s="19" t="s">
        <v>174</v>
      </c>
      <c r="B55" s="19" t="s">
        <v>175</v>
      </c>
      <c r="C55" s="19" t="s">
        <v>798</v>
      </c>
      <c r="D55" s="19"/>
      <c r="E55" s="34" t="s">
        <v>799</v>
      </c>
    </row>
    <row r="56" customFormat="false" ht="15" hidden="false" customHeight="false" outlineLevel="0" collapsed="false">
      <c r="A56" s="19" t="s">
        <v>174</v>
      </c>
      <c r="B56" s="19" t="s">
        <v>175</v>
      </c>
      <c r="C56" s="19" t="s">
        <v>800</v>
      </c>
      <c r="D56" s="19"/>
      <c r="E56" s="34" t="s">
        <v>801</v>
      </c>
    </row>
    <row r="57" customFormat="false" ht="15" hidden="false" customHeight="false" outlineLevel="0" collapsed="false">
      <c r="A57" s="19" t="s">
        <v>174</v>
      </c>
      <c r="B57" s="19" t="s">
        <v>175</v>
      </c>
      <c r="C57" s="19" t="s">
        <v>802</v>
      </c>
      <c r="D57" s="19"/>
      <c r="E57" s="34" t="s">
        <v>803</v>
      </c>
    </row>
    <row r="58" customFormat="false" ht="15" hidden="false" customHeight="false" outlineLevel="0" collapsed="false">
      <c r="A58" s="19" t="s">
        <v>174</v>
      </c>
      <c r="B58" s="19" t="s">
        <v>175</v>
      </c>
      <c r="C58" s="19" t="s">
        <v>804</v>
      </c>
      <c r="D58" s="19"/>
      <c r="E58" s="34" t="s">
        <v>805</v>
      </c>
    </row>
    <row r="59" customFormat="false" ht="15" hidden="false" customHeight="false" outlineLevel="0" collapsed="false">
      <c r="A59" s="19" t="s">
        <v>174</v>
      </c>
      <c r="B59" s="19" t="s">
        <v>175</v>
      </c>
      <c r="C59" s="19" t="s">
        <v>806</v>
      </c>
      <c r="D59" s="19"/>
      <c r="E59" s="34" t="s">
        <v>807</v>
      </c>
    </row>
    <row r="60" customFormat="false" ht="15" hidden="false" customHeight="false" outlineLevel="0" collapsed="false">
      <c r="A60" s="19" t="s">
        <v>174</v>
      </c>
      <c r="B60" s="19" t="s">
        <v>175</v>
      </c>
      <c r="C60" s="19" t="s">
        <v>723</v>
      </c>
      <c r="D60" s="19" t="s">
        <v>713</v>
      </c>
      <c r="E60" s="34" t="s">
        <v>808</v>
      </c>
    </row>
    <row r="61" customFormat="false" ht="15" hidden="false" customHeight="false" outlineLevel="0" collapsed="false">
      <c r="A61" s="19" t="s">
        <v>178</v>
      </c>
      <c r="B61" s="19" t="s">
        <v>179</v>
      </c>
      <c r="C61" s="19" t="s">
        <v>809</v>
      </c>
      <c r="D61" s="19" t="s">
        <v>810</v>
      </c>
      <c r="E61" s="34" t="s">
        <v>811</v>
      </c>
    </row>
    <row r="62" customFormat="false" ht="15" hidden="false" customHeight="false" outlineLevel="0" collapsed="false">
      <c r="A62" s="19" t="s">
        <v>178</v>
      </c>
      <c r="B62" s="19" t="s">
        <v>179</v>
      </c>
      <c r="C62" s="19" t="s">
        <v>812</v>
      </c>
      <c r="D62" s="19" t="s">
        <v>713</v>
      </c>
      <c r="E62" s="34" t="s">
        <v>813</v>
      </c>
    </row>
    <row r="63" customFormat="false" ht="15" hidden="false" customHeight="false" outlineLevel="0" collapsed="false">
      <c r="A63" s="19" t="s">
        <v>178</v>
      </c>
      <c r="B63" s="19" t="s">
        <v>179</v>
      </c>
      <c r="C63" s="19" t="s">
        <v>814</v>
      </c>
      <c r="D63" s="19"/>
      <c r="E63" s="34" t="s">
        <v>815</v>
      </c>
    </row>
    <row r="64" customFormat="false" ht="15" hidden="false" customHeight="false" outlineLevel="0" collapsed="false">
      <c r="A64" s="19" t="s">
        <v>178</v>
      </c>
      <c r="B64" s="19" t="s">
        <v>179</v>
      </c>
      <c r="C64" s="19" t="s">
        <v>758</v>
      </c>
      <c r="D64" s="19" t="s">
        <v>713</v>
      </c>
      <c r="E64" s="34" t="s">
        <v>759</v>
      </c>
    </row>
    <row r="65" customFormat="false" ht="15" hidden="false" customHeight="false" outlineLevel="0" collapsed="false">
      <c r="A65" s="19" t="s">
        <v>178</v>
      </c>
      <c r="B65" s="19" t="s">
        <v>179</v>
      </c>
      <c r="C65" s="19" t="s">
        <v>712</v>
      </c>
      <c r="D65" s="19" t="s">
        <v>713</v>
      </c>
      <c r="E65" s="34" t="s">
        <v>714</v>
      </c>
    </row>
    <row r="66" customFormat="false" ht="15" hidden="false" customHeight="false" outlineLevel="0" collapsed="false">
      <c r="A66" s="19" t="s">
        <v>181</v>
      </c>
      <c r="B66" s="19" t="s">
        <v>182</v>
      </c>
      <c r="C66" s="19" t="s">
        <v>816</v>
      </c>
      <c r="D66" s="19"/>
      <c r="E66" s="34" t="s">
        <v>817</v>
      </c>
    </row>
    <row r="67" customFormat="false" ht="15" hidden="false" customHeight="false" outlineLevel="0" collapsed="false">
      <c r="A67" s="19" t="s">
        <v>181</v>
      </c>
      <c r="B67" s="19" t="s">
        <v>182</v>
      </c>
      <c r="C67" s="19" t="s">
        <v>754</v>
      </c>
      <c r="D67" s="19" t="s">
        <v>755</v>
      </c>
      <c r="E67" s="34" t="s">
        <v>756</v>
      </c>
    </row>
    <row r="68" customFormat="false" ht="15" hidden="false" customHeight="false" outlineLevel="0" collapsed="false">
      <c r="A68" s="19" t="s">
        <v>181</v>
      </c>
      <c r="B68" s="19" t="s">
        <v>182</v>
      </c>
      <c r="C68" s="19" t="s">
        <v>818</v>
      </c>
      <c r="D68" s="19"/>
      <c r="E68" s="34" t="s">
        <v>819</v>
      </c>
    </row>
    <row r="69" customFormat="false" ht="15" hidden="false" customHeight="false" outlineLevel="0" collapsed="false">
      <c r="A69" s="19" t="s">
        <v>181</v>
      </c>
      <c r="B69" s="19" t="s">
        <v>182</v>
      </c>
      <c r="C69" s="19" t="s">
        <v>723</v>
      </c>
      <c r="D69" s="19" t="s">
        <v>713</v>
      </c>
      <c r="E69" s="34" t="s">
        <v>820</v>
      </c>
    </row>
    <row r="70" customFormat="false" ht="15" hidden="false" customHeight="false" outlineLevel="0" collapsed="false">
      <c r="A70" s="19" t="s">
        <v>185</v>
      </c>
      <c r="B70" s="19" t="s">
        <v>186</v>
      </c>
      <c r="C70" s="19" t="s">
        <v>821</v>
      </c>
      <c r="D70" s="19"/>
      <c r="E70" s="34" t="s">
        <v>822</v>
      </c>
    </row>
    <row r="71" customFormat="false" ht="15" hidden="false" customHeight="false" outlineLevel="0" collapsed="false">
      <c r="A71" s="19" t="s">
        <v>185</v>
      </c>
      <c r="B71" s="19" t="s">
        <v>186</v>
      </c>
      <c r="C71" s="19" t="s">
        <v>823</v>
      </c>
      <c r="D71" s="19"/>
      <c r="E71" s="34" t="s">
        <v>824</v>
      </c>
    </row>
    <row r="72" customFormat="false" ht="15" hidden="false" customHeight="false" outlineLevel="0" collapsed="false">
      <c r="A72" s="19" t="s">
        <v>185</v>
      </c>
      <c r="B72" s="19" t="s">
        <v>186</v>
      </c>
      <c r="C72" s="19" t="s">
        <v>825</v>
      </c>
      <c r="D72" s="19"/>
      <c r="E72" s="34" t="s">
        <v>826</v>
      </c>
    </row>
    <row r="73" customFormat="false" ht="15" hidden="false" customHeight="false" outlineLevel="0" collapsed="false">
      <c r="A73" s="19" t="s">
        <v>185</v>
      </c>
      <c r="B73" s="19" t="s">
        <v>186</v>
      </c>
      <c r="C73" s="19" t="s">
        <v>827</v>
      </c>
      <c r="D73" s="19"/>
      <c r="E73" s="34" t="s">
        <v>828</v>
      </c>
    </row>
    <row r="74" customFormat="false" ht="15" hidden="false" customHeight="false" outlineLevel="0" collapsed="false">
      <c r="A74" s="19" t="s">
        <v>185</v>
      </c>
      <c r="B74" s="19" t="s">
        <v>186</v>
      </c>
      <c r="C74" s="19" t="s">
        <v>829</v>
      </c>
      <c r="D74" s="19"/>
      <c r="E74" s="34" t="s">
        <v>830</v>
      </c>
    </row>
    <row r="75" customFormat="false" ht="15" hidden="false" customHeight="false" outlineLevel="0" collapsed="false">
      <c r="A75" s="19" t="s">
        <v>185</v>
      </c>
      <c r="B75" s="19" t="s">
        <v>186</v>
      </c>
      <c r="C75" s="19" t="s">
        <v>831</v>
      </c>
      <c r="D75" s="19"/>
      <c r="E75" s="34" t="s">
        <v>832</v>
      </c>
    </row>
    <row r="76" customFormat="false" ht="15" hidden="false" customHeight="false" outlineLevel="0" collapsed="false">
      <c r="A76" s="19" t="s">
        <v>185</v>
      </c>
      <c r="B76" s="19" t="s">
        <v>186</v>
      </c>
      <c r="C76" s="19" t="s">
        <v>723</v>
      </c>
      <c r="D76" s="19" t="s">
        <v>713</v>
      </c>
      <c r="E76" s="34" t="s">
        <v>833</v>
      </c>
    </row>
    <row r="77" customFormat="false" ht="15" hidden="false" customHeight="false" outlineLevel="0" collapsed="false">
      <c r="A77" s="19" t="s">
        <v>189</v>
      </c>
      <c r="B77" s="19" t="s">
        <v>190</v>
      </c>
      <c r="C77" s="19" t="s">
        <v>712</v>
      </c>
      <c r="D77" s="19" t="s">
        <v>713</v>
      </c>
      <c r="E77" s="34" t="s">
        <v>714</v>
      </c>
    </row>
    <row r="78" customFormat="false" ht="15" hidden="false" customHeight="false" outlineLevel="0" collapsed="false">
      <c r="A78" s="19" t="s">
        <v>189</v>
      </c>
      <c r="B78" s="19" t="s">
        <v>190</v>
      </c>
      <c r="C78" s="19" t="s">
        <v>758</v>
      </c>
      <c r="D78" s="19" t="s">
        <v>713</v>
      </c>
      <c r="E78" s="34" t="s">
        <v>759</v>
      </c>
    </row>
    <row r="79" customFormat="false" ht="15" hidden="false" customHeight="false" outlineLevel="0" collapsed="false">
      <c r="A79" s="19" t="s">
        <v>189</v>
      </c>
      <c r="B79" s="19" t="s">
        <v>190</v>
      </c>
      <c r="C79" s="19" t="s">
        <v>834</v>
      </c>
      <c r="D79" s="19"/>
      <c r="E79" s="34" t="s">
        <v>835</v>
      </c>
    </row>
    <row r="80" customFormat="false" ht="15" hidden="false" customHeight="false" outlineLevel="0" collapsed="false">
      <c r="A80" s="19" t="s">
        <v>189</v>
      </c>
      <c r="B80" s="19" t="s">
        <v>190</v>
      </c>
      <c r="C80" s="19" t="s">
        <v>723</v>
      </c>
      <c r="D80" s="19" t="s">
        <v>713</v>
      </c>
      <c r="E80" s="34" t="s">
        <v>836</v>
      </c>
    </row>
    <row r="81" customFormat="false" ht="15" hidden="false" customHeight="false" outlineLevel="0" collapsed="false">
      <c r="A81" s="19" t="s">
        <v>193</v>
      </c>
      <c r="B81" s="19" t="s">
        <v>194</v>
      </c>
      <c r="C81" s="19" t="s">
        <v>712</v>
      </c>
      <c r="D81" s="19" t="s">
        <v>713</v>
      </c>
      <c r="E81" s="34" t="s">
        <v>714</v>
      </c>
    </row>
    <row r="82" customFormat="false" ht="15" hidden="false" customHeight="false" outlineLevel="0" collapsed="false">
      <c r="A82" s="19" t="s">
        <v>193</v>
      </c>
      <c r="B82" s="19" t="s">
        <v>194</v>
      </c>
      <c r="C82" s="19" t="s">
        <v>715</v>
      </c>
      <c r="D82" s="19" t="s">
        <v>713</v>
      </c>
      <c r="E82" s="34" t="s">
        <v>716</v>
      </c>
    </row>
    <row r="83" customFormat="false" ht="15" hidden="false" customHeight="false" outlineLevel="0" collapsed="false">
      <c r="A83" s="19" t="s">
        <v>193</v>
      </c>
      <c r="B83" s="19" t="s">
        <v>194</v>
      </c>
      <c r="C83" s="19" t="s">
        <v>837</v>
      </c>
      <c r="D83" s="19"/>
      <c r="E83" s="34" t="s">
        <v>838</v>
      </c>
    </row>
    <row r="84" customFormat="false" ht="15" hidden="false" customHeight="false" outlineLevel="0" collapsed="false">
      <c r="A84" s="19" t="s">
        <v>193</v>
      </c>
      <c r="B84" s="19" t="s">
        <v>194</v>
      </c>
      <c r="C84" s="19" t="s">
        <v>723</v>
      </c>
      <c r="D84" s="19" t="s">
        <v>713</v>
      </c>
      <c r="E84" s="34" t="s">
        <v>839</v>
      </c>
    </row>
    <row r="85" customFormat="false" ht="15" hidden="false" customHeight="false" outlineLevel="0" collapsed="false">
      <c r="A85" s="19" t="s">
        <v>197</v>
      </c>
      <c r="B85" s="19" t="s">
        <v>198</v>
      </c>
      <c r="C85" s="19" t="s">
        <v>840</v>
      </c>
      <c r="D85" s="19"/>
      <c r="E85" s="34" t="s">
        <v>841</v>
      </c>
    </row>
    <row r="86" customFormat="false" ht="15" hidden="false" customHeight="false" outlineLevel="0" collapsed="false">
      <c r="A86" s="19" t="s">
        <v>197</v>
      </c>
      <c r="B86" s="19" t="s">
        <v>198</v>
      </c>
      <c r="C86" s="19" t="s">
        <v>723</v>
      </c>
      <c r="D86" s="19" t="s">
        <v>713</v>
      </c>
      <c r="E86" s="34" t="s">
        <v>842</v>
      </c>
    </row>
    <row r="87" customFormat="false" ht="15" hidden="false" customHeight="false" outlineLevel="0" collapsed="false">
      <c r="A87" s="19" t="s">
        <v>201</v>
      </c>
      <c r="B87" s="19" t="s">
        <v>202</v>
      </c>
      <c r="C87" s="19" t="s">
        <v>715</v>
      </c>
      <c r="D87" s="19" t="s">
        <v>713</v>
      </c>
      <c r="E87" s="34" t="s">
        <v>716</v>
      </c>
    </row>
    <row r="88" customFormat="false" ht="15" hidden="false" customHeight="false" outlineLevel="0" collapsed="false">
      <c r="A88" s="19" t="s">
        <v>201</v>
      </c>
      <c r="B88" s="19" t="s">
        <v>202</v>
      </c>
      <c r="C88" s="19" t="s">
        <v>758</v>
      </c>
      <c r="D88" s="19" t="s">
        <v>713</v>
      </c>
      <c r="E88" s="34" t="s">
        <v>759</v>
      </c>
    </row>
    <row r="89" customFormat="false" ht="15" hidden="false" customHeight="false" outlineLevel="0" collapsed="false">
      <c r="A89" s="19" t="s">
        <v>201</v>
      </c>
      <c r="B89" s="19" t="s">
        <v>202</v>
      </c>
      <c r="C89" s="19" t="s">
        <v>712</v>
      </c>
      <c r="D89" s="19" t="s">
        <v>713</v>
      </c>
      <c r="E89" s="34" t="s">
        <v>714</v>
      </c>
    </row>
    <row r="90" customFormat="false" ht="15" hidden="false" customHeight="false" outlineLevel="0" collapsed="false">
      <c r="A90" s="19" t="s">
        <v>204</v>
      </c>
      <c r="B90" s="19" t="s">
        <v>205</v>
      </c>
      <c r="C90" s="19" t="s">
        <v>843</v>
      </c>
      <c r="D90" s="19" t="s">
        <v>844</v>
      </c>
      <c r="E90" s="34" t="s">
        <v>845</v>
      </c>
    </row>
    <row r="91" customFormat="false" ht="15" hidden="false" customHeight="false" outlineLevel="0" collapsed="false">
      <c r="A91" s="19" t="s">
        <v>204</v>
      </c>
      <c r="B91" s="19" t="s">
        <v>205</v>
      </c>
      <c r="C91" s="19" t="s">
        <v>715</v>
      </c>
      <c r="D91" s="19" t="s">
        <v>713</v>
      </c>
      <c r="E91" s="34" t="s">
        <v>716</v>
      </c>
    </row>
    <row r="92" customFormat="false" ht="15" hidden="false" customHeight="false" outlineLevel="0" collapsed="false">
      <c r="A92" s="19" t="s">
        <v>204</v>
      </c>
      <c r="B92" s="19" t="s">
        <v>205</v>
      </c>
      <c r="C92" s="19" t="s">
        <v>758</v>
      </c>
      <c r="D92" s="19" t="s">
        <v>713</v>
      </c>
      <c r="E92" s="34" t="s">
        <v>759</v>
      </c>
    </row>
    <row r="93" customFormat="false" ht="15" hidden="false" customHeight="false" outlineLevel="0" collapsed="false">
      <c r="A93" s="19" t="s">
        <v>208</v>
      </c>
      <c r="B93" s="19" t="s">
        <v>209</v>
      </c>
      <c r="C93" s="19" t="s">
        <v>846</v>
      </c>
      <c r="D93" s="19"/>
      <c r="E93" s="34" t="s">
        <v>847</v>
      </c>
    </row>
    <row r="94" customFormat="false" ht="15" hidden="false" customHeight="false" outlineLevel="0" collapsed="false">
      <c r="A94" s="19" t="s">
        <v>208</v>
      </c>
      <c r="B94" s="19" t="s">
        <v>209</v>
      </c>
      <c r="C94" s="19" t="s">
        <v>723</v>
      </c>
      <c r="D94" s="19" t="s">
        <v>713</v>
      </c>
      <c r="E94" s="34" t="s">
        <v>848</v>
      </c>
    </row>
    <row r="95" customFormat="false" ht="15" hidden="false" customHeight="false" outlineLevel="0" collapsed="false">
      <c r="A95" s="19" t="s">
        <v>212</v>
      </c>
      <c r="B95" s="19" t="s">
        <v>213</v>
      </c>
      <c r="C95" s="19" t="s">
        <v>849</v>
      </c>
      <c r="D95" s="19"/>
      <c r="E95" s="34" t="s">
        <v>850</v>
      </c>
    </row>
    <row r="96" customFormat="false" ht="15" hidden="false" customHeight="false" outlineLevel="0" collapsed="false">
      <c r="A96" s="19" t="s">
        <v>212</v>
      </c>
      <c r="B96" s="19" t="s">
        <v>213</v>
      </c>
      <c r="C96" s="19" t="s">
        <v>723</v>
      </c>
      <c r="D96" s="19" t="s">
        <v>713</v>
      </c>
      <c r="E96" s="34" t="s">
        <v>851</v>
      </c>
    </row>
    <row r="97" customFormat="false" ht="15" hidden="false" customHeight="false" outlineLevel="0" collapsed="false">
      <c r="A97" s="19" t="s">
        <v>216</v>
      </c>
      <c r="B97" s="19" t="s">
        <v>217</v>
      </c>
      <c r="C97" s="19" t="s">
        <v>852</v>
      </c>
      <c r="D97" s="19"/>
      <c r="E97" s="34" t="s">
        <v>850</v>
      </c>
    </row>
    <row r="98" customFormat="false" ht="15" hidden="false" customHeight="false" outlineLevel="0" collapsed="false">
      <c r="A98" s="19" t="s">
        <v>216</v>
      </c>
      <c r="B98" s="19" t="s">
        <v>217</v>
      </c>
      <c r="C98" s="19" t="s">
        <v>715</v>
      </c>
      <c r="D98" s="19" t="s">
        <v>713</v>
      </c>
      <c r="E98" s="34" t="s">
        <v>716</v>
      </c>
    </row>
    <row r="99" customFormat="false" ht="15" hidden="false" customHeight="false" outlineLevel="0" collapsed="false">
      <c r="A99" s="19" t="s">
        <v>220</v>
      </c>
      <c r="B99" s="19" t="s">
        <v>221</v>
      </c>
      <c r="C99" s="19" t="s">
        <v>818</v>
      </c>
      <c r="D99" s="19"/>
      <c r="E99" s="34" t="s">
        <v>853</v>
      </c>
    </row>
    <row r="100" customFormat="false" ht="15" hidden="false" customHeight="false" outlineLevel="0" collapsed="false">
      <c r="A100" s="19" t="s">
        <v>220</v>
      </c>
      <c r="B100" s="19" t="s">
        <v>221</v>
      </c>
      <c r="C100" s="19" t="s">
        <v>723</v>
      </c>
      <c r="D100" s="19" t="s">
        <v>713</v>
      </c>
      <c r="E100" s="34" t="s">
        <v>854</v>
      </c>
    </row>
    <row r="101" customFormat="false" ht="15" hidden="false" customHeight="false" outlineLevel="0" collapsed="false">
      <c r="A101" s="19" t="s">
        <v>224</v>
      </c>
      <c r="B101" s="19" t="s">
        <v>225</v>
      </c>
      <c r="C101" s="19" t="s">
        <v>855</v>
      </c>
      <c r="D101" s="19"/>
      <c r="E101" s="34" t="s">
        <v>856</v>
      </c>
    </row>
    <row r="102" customFormat="false" ht="15" hidden="false" customHeight="false" outlineLevel="0" collapsed="false">
      <c r="A102" s="19" t="s">
        <v>224</v>
      </c>
      <c r="B102" s="19" t="s">
        <v>225</v>
      </c>
      <c r="C102" s="19" t="s">
        <v>723</v>
      </c>
      <c r="D102" s="19" t="s">
        <v>713</v>
      </c>
      <c r="E102" s="34" t="s">
        <v>857</v>
      </c>
    </row>
    <row r="103" customFormat="false" ht="15" hidden="false" customHeight="false" outlineLevel="0" collapsed="false">
      <c r="A103" s="19" t="s">
        <v>228</v>
      </c>
      <c r="B103" s="19" t="s">
        <v>229</v>
      </c>
      <c r="C103" s="19" t="s">
        <v>715</v>
      </c>
      <c r="D103" s="19" t="s">
        <v>713</v>
      </c>
      <c r="E103" s="34" t="s">
        <v>716</v>
      </c>
    </row>
    <row r="104" customFormat="false" ht="15" hidden="false" customHeight="false" outlineLevel="0" collapsed="false">
      <c r="A104" s="19" t="s">
        <v>228</v>
      </c>
      <c r="B104" s="19" t="s">
        <v>229</v>
      </c>
      <c r="C104" s="19" t="s">
        <v>758</v>
      </c>
      <c r="D104" s="19" t="s">
        <v>713</v>
      </c>
      <c r="E104" s="34" t="s">
        <v>759</v>
      </c>
    </row>
    <row r="105" customFormat="false" ht="15" hidden="false" customHeight="false" outlineLevel="0" collapsed="false">
      <c r="A105" s="19" t="s">
        <v>228</v>
      </c>
      <c r="B105" s="19" t="s">
        <v>229</v>
      </c>
      <c r="C105" s="19" t="s">
        <v>712</v>
      </c>
      <c r="D105" s="19" t="s">
        <v>713</v>
      </c>
      <c r="E105" s="34" t="s">
        <v>714</v>
      </c>
    </row>
    <row r="106" customFormat="false" ht="15" hidden="false" customHeight="false" outlineLevel="0" collapsed="false">
      <c r="A106" s="19" t="s">
        <v>231</v>
      </c>
      <c r="B106" s="19" t="s">
        <v>232</v>
      </c>
      <c r="C106" s="19" t="s">
        <v>858</v>
      </c>
      <c r="D106" s="19" t="s">
        <v>859</v>
      </c>
      <c r="E106" s="34" t="s">
        <v>860</v>
      </c>
    </row>
    <row r="107" customFormat="false" ht="15" hidden="false" customHeight="false" outlineLevel="0" collapsed="false">
      <c r="A107" s="19" t="s">
        <v>231</v>
      </c>
      <c r="B107" s="19" t="s">
        <v>232</v>
      </c>
      <c r="C107" s="19" t="s">
        <v>861</v>
      </c>
      <c r="D107" s="19"/>
      <c r="E107" s="34" t="s">
        <v>862</v>
      </c>
    </row>
    <row r="108" customFormat="false" ht="15" hidden="false" customHeight="false" outlineLevel="0" collapsed="false">
      <c r="A108" s="19" t="s">
        <v>231</v>
      </c>
      <c r="B108" s="19" t="s">
        <v>232</v>
      </c>
      <c r="C108" s="19" t="s">
        <v>863</v>
      </c>
      <c r="D108" s="19"/>
      <c r="E108" s="34" t="s">
        <v>864</v>
      </c>
    </row>
    <row r="109" customFormat="false" ht="15" hidden="false" customHeight="false" outlineLevel="0" collapsed="false">
      <c r="A109" s="19" t="s">
        <v>231</v>
      </c>
      <c r="B109" s="19" t="s">
        <v>232</v>
      </c>
      <c r="C109" s="19" t="s">
        <v>865</v>
      </c>
      <c r="D109" s="19"/>
      <c r="E109" s="34" t="s">
        <v>860</v>
      </c>
    </row>
    <row r="110" customFormat="false" ht="15" hidden="false" customHeight="false" outlineLevel="0" collapsed="false">
      <c r="A110" s="19" t="s">
        <v>231</v>
      </c>
      <c r="B110" s="19" t="s">
        <v>232</v>
      </c>
      <c r="C110" s="19" t="s">
        <v>740</v>
      </c>
      <c r="D110" s="19"/>
      <c r="E110" s="34" t="s">
        <v>741</v>
      </c>
    </row>
    <row r="111" customFormat="false" ht="15" hidden="false" customHeight="false" outlineLevel="0" collapsed="false">
      <c r="A111" s="19" t="s">
        <v>231</v>
      </c>
      <c r="B111" s="19" t="s">
        <v>232</v>
      </c>
      <c r="C111" s="19" t="s">
        <v>723</v>
      </c>
      <c r="D111" s="19" t="s">
        <v>713</v>
      </c>
      <c r="E111" s="34" t="s">
        <v>866</v>
      </c>
    </row>
    <row r="112" customFormat="false" ht="15" hidden="false" customHeight="false" outlineLevel="0" collapsed="false">
      <c r="A112" s="19" t="s">
        <v>235</v>
      </c>
      <c r="B112" s="19" t="s">
        <v>236</v>
      </c>
      <c r="C112" s="19" t="s">
        <v>867</v>
      </c>
      <c r="D112" s="19" t="s">
        <v>868</v>
      </c>
      <c r="E112" s="34" t="s">
        <v>869</v>
      </c>
    </row>
    <row r="113" customFormat="false" ht="15" hidden="false" customHeight="false" outlineLevel="0" collapsed="false">
      <c r="A113" s="19" t="s">
        <v>235</v>
      </c>
      <c r="B113" s="19" t="s">
        <v>236</v>
      </c>
      <c r="C113" s="19" t="s">
        <v>870</v>
      </c>
      <c r="D113" s="19"/>
      <c r="E113" s="34" t="s">
        <v>871</v>
      </c>
    </row>
    <row r="114" customFormat="false" ht="15" hidden="false" customHeight="false" outlineLevel="0" collapsed="false">
      <c r="A114" s="19" t="s">
        <v>235</v>
      </c>
      <c r="B114" s="19" t="s">
        <v>236</v>
      </c>
      <c r="C114" s="19" t="s">
        <v>715</v>
      </c>
      <c r="D114" s="19" t="s">
        <v>713</v>
      </c>
      <c r="E114" s="34" t="s">
        <v>716</v>
      </c>
    </row>
    <row r="115" customFormat="false" ht="15" hidden="false" customHeight="false" outlineLevel="0" collapsed="false">
      <c r="A115" s="19" t="s">
        <v>238</v>
      </c>
      <c r="B115" s="19" t="s">
        <v>239</v>
      </c>
      <c r="C115" s="19" t="s">
        <v>715</v>
      </c>
      <c r="D115" s="19" t="s">
        <v>713</v>
      </c>
      <c r="E115" s="34" t="s">
        <v>716</v>
      </c>
    </row>
    <row r="116" customFormat="false" ht="15" hidden="false" customHeight="false" outlineLevel="0" collapsed="false">
      <c r="A116" s="19" t="s">
        <v>238</v>
      </c>
      <c r="B116" s="19" t="s">
        <v>239</v>
      </c>
      <c r="C116" s="19" t="s">
        <v>758</v>
      </c>
      <c r="D116" s="19" t="s">
        <v>713</v>
      </c>
      <c r="E116" s="34" t="s">
        <v>759</v>
      </c>
    </row>
    <row r="117" customFormat="false" ht="15" hidden="false" customHeight="false" outlineLevel="0" collapsed="false">
      <c r="A117" s="19" t="s">
        <v>241</v>
      </c>
      <c r="B117" s="19" t="s">
        <v>242</v>
      </c>
      <c r="C117" s="19" t="s">
        <v>715</v>
      </c>
      <c r="D117" s="19" t="s">
        <v>713</v>
      </c>
      <c r="E117" s="34" t="s">
        <v>716</v>
      </c>
    </row>
    <row r="118" customFormat="false" ht="15" hidden="false" customHeight="false" outlineLevel="0" collapsed="false">
      <c r="A118" s="19" t="s">
        <v>241</v>
      </c>
      <c r="B118" s="19" t="s">
        <v>242</v>
      </c>
      <c r="C118" s="19" t="s">
        <v>872</v>
      </c>
      <c r="D118" s="19"/>
      <c r="E118" s="34" t="s">
        <v>873</v>
      </c>
    </row>
    <row r="119" customFormat="false" ht="15" hidden="false" customHeight="false" outlineLevel="0" collapsed="false">
      <c r="A119" s="19" t="s">
        <v>241</v>
      </c>
      <c r="B119" s="19" t="s">
        <v>242</v>
      </c>
      <c r="C119" s="19" t="s">
        <v>723</v>
      </c>
      <c r="D119" s="19" t="s">
        <v>713</v>
      </c>
      <c r="E119" s="34" t="s">
        <v>874</v>
      </c>
    </row>
    <row r="120" customFormat="false" ht="15" hidden="false" customHeight="false" outlineLevel="0" collapsed="false">
      <c r="A120" s="19" t="s">
        <v>244</v>
      </c>
      <c r="B120" s="19" t="s">
        <v>245</v>
      </c>
      <c r="C120" s="19" t="s">
        <v>715</v>
      </c>
      <c r="D120" s="19" t="s">
        <v>713</v>
      </c>
      <c r="E120" s="34" t="s">
        <v>716</v>
      </c>
    </row>
    <row r="121" customFormat="false" ht="15" hidden="false" customHeight="false" outlineLevel="0" collapsed="false">
      <c r="A121" s="19" t="s">
        <v>248</v>
      </c>
      <c r="B121" s="19" t="s">
        <v>249</v>
      </c>
      <c r="C121" s="19" t="s">
        <v>715</v>
      </c>
      <c r="D121" s="19" t="s">
        <v>713</v>
      </c>
      <c r="E121" s="34" t="s">
        <v>716</v>
      </c>
    </row>
    <row r="122" customFormat="false" ht="15" hidden="false" customHeight="false" outlineLevel="0" collapsed="false">
      <c r="A122" s="19" t="s">
        <v>251</v>
      </c>
      <c r="B122" s="19" t="s">
        <v>252</v>
      </c>
      <c r="C122" s="19" t="s">
        <v>715</v>
      </c>
      <c r="D122" s="19" t="s">
        <v>713</v>
      </c>
      <c r="E122" s="34" t="s">
        <v>716</v>
      </c>
    </row>
    <row r="123" customFormat="false" ht="15" hidden="false" customHeight="false" outlineLevel="0" collapsed="false">
      <c r="A123" s="19" t="s">
        <v>254</v>
      </c>
      <c r="B123" s="19" t="s">
        <v>255</v>
      </c>
      <c r="C123" s="19" t="s">
        <v>715</v>
      </c>
      <c r="D123" s="19" t="s">
        <v>713</v>
      </c>
      <c r="E123" s="34" t="s">
        <v>716</v>
      </c>
    </row>
    <row r="124" customFormat="false" ht="15" hidden="false" customHeight="false" outlineLevel="0" collapsed="false">
      <c r="A124" s="19" t="s">
        <v>257</v>
      </c>
      <c r="B124" s="19" t="s">
        <v>258</v>
      </c>
      <c r="C124" s="19" t="s">
        <v>715</v>
      </c>
      <c r="D124" s="19" t="s">
        <v>713</v>
      </c>
      <c r="E124" s="34" t="s">
        <v>716</v>
      </c>
    </row>
    <row r="125" customFormat="false" ht="15" hidden="false" customHeight="false" outlineLevel="0" collapsed="false">
      <c r="A125" s="19" t="s">
        <v>260</v>
      </c>
      <c r="B125" s="19" t="s">
        <v>261</v>
      </c>
      <c r="C125" s="19" t="s">
        <v>715</v>
      </c>
      <c r="D125" s="19" t="s">
        <v>713</v>
      </c>
      <c r="E125" s="34" t="s">
        <v>716</v>
      </c>
    </row>
    <row r="126" customFormat="false" ht="15" hidden="false" customHeight="false" outlineLevel="0" collapsed="false">
      <c r="A126" s="19" t="s">
        <v>263</v>
      </c>
      <c r="B126" s="19" t="s">
        <v>264</v>
      </c>
      <c r="C126" s="19" t="s">
        <v>715</v>
      </c>
      <c r="D126" s="19" t="s">
        <v>713</v>
      </c>
      <c r="E126" s="34" t="s">
        <v>716</v>
      </c>
    </row>
    <row r="127" customFormat="false" ht="15" hidden="false" customHeight="false" outlineLevel="0" collapsed="false">
      <c r="A127" s="19" t="s">
        <v>266</v>
      </c>
      <c r="B127" s="19" t="s">
        <v>267</v>
      </c>
      <c r="C127" s="19" t="s">
        <v>715</v>
      </c>
      <c r="D127" s="19" t="s">
        <v>713</v>
      </c>
      <c r="E127" s="34" t="s">
        <v>716</v>
      </c>
    </row>
    <row r="128" customFormat="false" ht="15" hidden="false" customHeight="false" outlineLevel="0" collapsed="false">
      <c r="A128" s="19" t="s">
        <v>269</v>
      </c>
      <c r="B128" s="19" t="s">
        <v>270</v>
      </c>
      <c r="C128" s="19" t="s">
        <v>715</v>
      </c>
      <c r="D128" s="19" t="s">
        <v>713</v>
      </c>
      <c r="E128" s="34" t="s">
        <v>716</v>
      </c>
    </row>
    <row r="129" customFormat="false" ht="15" hidden="false" customHeight="false" outlineLevel="0" collapsed="false">
      <c r="A129" s="19" t="s">
        <v>272</v>
      </c>
      <c r="B129" s="19" t="s">
        <v>273</v>
      </c>
      <c r="C129" s="19" t="s">
        <v>715</v>
      </c>
      <c r="D129" s="19" t="s">
        <v>713</v>
      </c>
      <c r="E129" s="34" t="s">
        <v>716</v>
      </c>
    </row>
    <row r="130" customFormat="false" ht="15" hidden="false" customHeight="false" outlineLevel="0" collapsed="false">
      <c r="A130" s="19" t="s">
        <v>275</v>
      </c>
      <c r="B130" s="19" t="s">
        <v>276</v>
      </c>
      <c r="C130" s="19" t="s">
        <v>715</v>
      </c>
      <c r="D130" s="19" t="s">
        <v>713</v>
      </c>
      <c r="E130" s="34" t="s">
        <v>716</v>
      </c>
    </row>
    <row r="131" customFormat="false" ht="15" hidden="false" customHeight="false" outlineLevel="0" collapsed="false">
      <c r="A131" s="19" t="s">
        <v>278</v>
      </c>
      <c r="B131" s="19" t="s">
        <v>279</v>
      </c>
      <c r="C131" s="19" t="s">
        <v>715</v>
      </c>
      <c r="D131" s="19" t="s">
        <v>713</v>
      </c>
      <c r="E131" s="34" t="s">
        <v>716</v>
      </c>
    </row>
    <row r="132" customFormat="false" ht="15" hidden="false" customHeight="false" outlineLevel="0" collapsed="false">
      <c r="A132" s="19" t="s">
        <v>281</v>
      </c>
      <c r="B132" s="19" t="s">
        <v>282</v>
      </c>
      <c r="C132" s="19" t="s">
        <v>715</v>
      </c>
      <c r="D132" s="19" t="s">
        <v>713</v>
      </c>
      <c r="E132" s="34" t="s">
        <v>716</v>
      </c>
    </row>
    <row r="133" customFormat="false" ht="15" hidden="false" customHeight="false" outlineLevel="0" collapsed="false">
      <c r="A133" s="19" t="s">
        <v>284</v>
      </c>
      <c r="B133" s="19" t="s">
        <v>285</v>
      </c>
      <c r="C133" s="19" t="s">
        <v>715</v>
      </c>
      <c r="D133" s="19" t="s">
        <v>713</v>
      </c>
      <c r="E133" s="34" t="s">
        <v>716</v>
      </c>
    </row>
    <row r="134" customFormat="false" ht="15" hidden="false" customHeight="false" outlineLevel="0" collapsed="false">
      <c r="A134" s="19" t="s">
        <v>287</v>
      </c>
      <c r="B134" s="19" t="s">
        <v>288</v>
      </c>
      <c r="C134" s="19" t="s">
        <v>715</v>
      </c>
      <c r="D134" s="19" t="s">
        <v>713</v>
      </c>
      <c r="E134" s="34" t="s">
        <v>716</v>
      </c>
    </row>
    <row r="135" customFormat="false" ht="15" hidden="false" customHeight="false" outlineLevel="0" collapsed="false">
      <c r="A135" s="19" t="s">
        <v>290</v>
      </c>
      <c r="B135" s="19" t="s">
        <v>291</v>
      </c>
      <c r="C135" s="19" t="s">
        <v>715</v>
      </c>
      <c r="D135" s="19" t="s">
        <v>713</v>
      </c>
      <c r="E135" s="34" t="s">
        <v>716</v>
      </c>
    </row>
    <row r="136" customFormat="false" ht="15" hidden="false" customHeight="false" outlineLevel="0" collapsed="false">
      <c r="A136" s="19" t="s">
        <v>293</v>
      </c>
      <c r="B136" s="19" t="s">
        <v>294</v>
      </c>
      <c r="C136" s="19" t="s">
        <v>715</v>
      </c>
      <c r="D136" s="19" t="s">
        <v>713</v>
      </c>
      <c r="E136" s="34" t="s">
        <v>716</v>
      </c>
    </row>
    <row r="137" customFormat="false" ht="15" hidden="false" customHeight="false" outlineLevel="0" collapsed="false">
      <c r="A137" s="19" t="s">
        <v>296</v>
      </c>
      <c r="B137" s="19" t="s">
        <v>297</v>
      </c>
      <c r="C137" s="19" t="s">
        <v>715</v>
      </c>
      <c r="D137" s="19" t="s">
        <v>713</v>
      </c>
      <c r="E137" s="34" t="s">
        <v>716</v>
      </c>
    </row>
    <row r="138" customFormat="false" ht="15" hidden="false" customHeight="false" outlineLevel="0" collapsed="false">
      <c r="A138" s="19" t="s">
        <v>299</v>
      </c>
      <c r="B138" s="19" t="s">
        <v>300</v>
      </c>
      <c r="C138" s="19" t="s">
        <v>715</v>
      </c>
      <c r="D138" s="19" t="s">
        <v>713</v>
      </c>
      <c r="E138" s="34" t="s">
        <v>716</v>
      </c>
    </row>
    <row r="139" customFormat="false" ht="15" hidden="false" customHeight="false" outlineLevel="0" collapsed="false">
      <c r="A139" s="19" t="s">
        <v>302</v>
      </c>
      <c r="B139" s="19" t="s">
        <v>303</v>
      </c>
      <c r="C139" s="19" t="s">
        <v>715</v>
      </c>
      <c r="D139" s="19" t="s">
        <v>713</v>
      </c>
      <c r="E139" s="34" t="s">
        <v>716</v>
      </c>
    </row>
    <row r="140" customFormat="false" ht="15" hidden="false" customHeight="false" outlineLevel="0" collapsed="false">
      <c r="A140" s="19" t="s">
        <v>305</v>
      </c>
      <c r="B140" s="19" t="s">
        <v>306</v>
      </c>
      <c r="C140" s="19" t="s">
        <v>758</v>
      </c>
      <c r="D140" s="19" t="s">
        <v>713</v>
      </c>
      <c r="E140" s="34" t="s">
        <v>759</v>
      </c>
    </row>
    <row r="141" customFormat="false" ht="15" hidden="false" customHeight="false" outlineLevel="0" collapsed="false">
      <c r="A141" s="19" t="s">
        <v>308</v>
      </c>
      <c r="B141" s="19" t="s">
        <v>309</v>
      </c>
      <c r="C141" s="19" t="s">
        <v>758</v>
      </c>
      <c r="D141" s="19" t="s">
        <v>713</v>
      </c>
      <c r="E141" s="34" t="s">
        <v>759</v>
      </c>
    </row>
    <row r="142" customFormat="false" ht="15" hidden="false" customHeight="false" outlineLevel="0" collapsed="false">
      <c r="A142" s="19" t="s">
        <v>311</v>
      </c>
      <c r="B142" s="19" t="s">
        <v>312</v>
      </c>
      <c r="C142" s="19" t="s">
        <v>758</v>
      </c>
      <c r="D142" s="19" t="s">
        <v>713</v>
      </c>
      <c r="E142" s="34" t="s">
        <v>759</v>
      </c>
    </row>
    <row r="143" customFormat="false" ht="15" hidden="false" customHeight="false" outlineLevel="0" collapsed="false">
      <c r="A143" s="19" t="s">
        <v>314</v>
      </c>
      <c r="B143" s="19" t="s">
        <v>315</v>
      </c>
      <c r="C143" s="19" t="s">
        <v>758</v>
      </c>
      <c r="D143" s="19" t="s">
        <v>713</v>
      </c>
      <c r="E143" s="34" t="s">
        <v>759</v>
      </c>
    </row>
    <row r="144" customFormat="false" ht="15" hidden="false" customHeight="false" outlineLevel="0" collapsed="false">
      <c r="A144" s="19" t="s">
        <v>317</v>
      </c>
      <c r="B144" s="19" t="s">
        <v>318</v>
      </c>
      <c r="C144" s="19" t="s">
        <v>712</v>
      </c>
      <c r="D144" s="19" t="s">
        <v>713</v>
      </c>
      <c r="E144" s="34" t="s">
        <v>714</v>
      </c>
    </row>
    <row r="145" customFormat="false" ht="15" hidden="false" customHeight="false" outlineLevel="0" collapsed="false">
      <c r="A145" s="19" t="s">
        <v>320</v>
      </c>
      <c r="B145" s="19" t="s">
        <v>321</v>
      </c>
      <c r="C145" s="19" t="s">
        <v>712</v>
      </c>
      <c r="D145" s="19" t="s">
        <v>713</v>
      </c>
      <c r="E145" s="34" t="s">
        <v>714</v>
      </c>
    </row>
    <row r="146" customFormat="false" ht="15" hidden="false" customHeight="false" outlineLevel="0" collapsed="false">
      <c r="A146" s="19" t="s">
        <v>323</v>
      </c>
      <c r="B146" s="19" t="s">
        <v>324</v>
      </c>
      <c r="C146" s="19" t="s">
        <v>712</v>
      </c>
      <c r="D146" s="19" t="s">
        <v>713</v>
      </c>
      <c r="E146" s="34" t="s">
        <v>714</v>
      </c>
    </row>
    <row r="147" customFormat="false" ht="15" hidden="false" customHeight="false" outlineLevel="0" collapsed="false">
      <c r="A147" s="19" t="s">
        <v>326</v>
      </c>
      <c r="B147" s="19" t="s">
        <v>327</v>
      </c>
      <c r="C147" s="19" t="s">
        <v>875</v>
      </c>
      <c r="D147" s="19" t="s">
        <v>713</v>
      </c>
      <c r="E147" s="34" t="s">
        <v>876</v>
      </c>
    </row>
    <row r="148" customFormat="false" ht="15" hidden="false" customHeight="false" outlineLevel="0" collapsed="false">
      <c r="A148" s="19" t="s">
        <v>331</v>
      </c>
      <c r="B148" s="19" t="s">
        <v>332</v>
      </c>
      <c r="C148" s="19" t="s">
        <v>875</v>
      </c>
      <c r="D148" s="19" t="s">
        <v>713</v>
      </c>
      <c r="E148" s="34" t="s">
        <v>876</v>
      </c>
    </row>
    <row r="149" customFormat="false" ht="15" hidden="false" customHeight="false" outlineLevel="0" collapsed="false">
      <c r="A149" s="19" t="s">
        <v>334</v>
      </c>
      <c r="B149" s="19" t="s">
        <v>335</v>
      </c>
      <c r="C149" s="19" t="s">
        <v>875</v>
      </c>
      <c r="D149" s="19" t="s">
        <v>713</v>
      </c>
      <c r="E149" s="34" t="s">
        <v>876</v>
      </c>
    </row>
    <row r="150" customFormat="false" ht="15" hidden="false" customHeight="false" outlineLevel="0" collapsed="false">
      <c r="A150" s="19" t="s">
        <v>337</v>
      </c>
      <c r="B150" s="19" t="s">
        <v>338</v>
      </c>
      <c r="C150" s="19" t="s">
        <v>875</v>
      </c>
      <c r="D150" s="19" t="s">
        <v>713</v>
      </c>
      <c r="E150" s="34" t="s">
        <v>876</v>
      </c>
    </row>
    <row r="151" customFormat="false" ht="15" hidden="false" customHeight="false" outlineLevel="0" collapsed="false">
      <c r="A151" s="19" t="s">
        <v>340</v>
      </c>
      <c r="B151" s="19" t="s">
        <v>341</v>
      </c>
      <c r="C151" s="19" t="s">
        <v>875</v>
      </c>
      <c r="D151" s="19" t="s">
        <v>713</v>
      </c>
      <c r="E151" s="34" t="s">
        <v>876</v>
      </c>
    </row>
    <row r="152" customFormat="false" ht="15" hidden="false" customHeight="false" outlineLevel="0" collapsed="false">
      <c r="A152" s="19" t="s">
        <v>343</v>
      </c>
      <c r="B152" s="19" t="s">
        <v>344</v>
      </c>
      <c r="C152" s="19" t="s">
        <v>875</v>
      </c>
      <c r="D152" s="19" t="s">
        <v>713</v>
      </c>
      <c r="E152" s="34" t="s">
        <v>876</v>
      </c>
    </row>
    <row r="153" customFormat="false" ht="15" hidden="false" customHeight="false" outlineLevel="0" collapsed="false">
      <c r="A153" s="19" t="s">
        <v>346</v>
      </c>
      <c r="B153" s="19" t="s">
        <v>347</v>
      </c>
      <c r="C153" s="19" t="s">
        <v>875</v>
      </c>
      <c r="D153" s="19" t="s">
        <v>713</v>
      </c>
      <c r="E153" s="34" t="s">
        <v>876</v>
      </c>
    </row>
    <row r="154" customFormat="false" ht="15" hidden="false" customHeight="false" outlineLevel="0" collapsed="false">
      <c r="A154" s="19" t="s">
        <v>349</v>
      </c>
      <c r="B154" s="19" t="s">
        <v>350</v>
      </c>
      <c r="C154" s="19" t="s">
        <v>875</v>
      </c>
      <c r="D154" s="19" t="s">
        <v>713</v>
      </c>
      <c r="E154" s="34" t="s">
        <v>876</v>
      </c>
    </row>
    <row r="155" customFormat="false" ht="15" hidden="false" customHeight="false" outlineLevel="0" collapsed="false">
      <c r="A155" s="19" t="s">
        <v>352</v>
      </c>
      <c r="B155" s="19" t="s">
        <v>353</v>
      </c>
      <c r="C155" s="19" t="s">
        <v>875</v>
      </c>
      <c r="D155" s="19" t="s">
        <v>713</v>
      </c>
      <c r="E155" s="34" t="s">
        <v>876</v>
      </c>
    </row>
    <row r="156" customFormat="false" ht="15" hidden="false" customHeight="false" outlineLevel="0" collapsed="false">
      <c r="A156" s="19" t="s">
        <v>356</v>
      </c>
      <c r="B156" s="19" t="s">
        <v>357</v>
      </c>
      <c r="C156" s="19" t="s">
        <v>877</v>
      </c>
      <c r="D156" s="19" t="s">
        <v>713</v>
      </c>
      <c r="E156" s="34" t="s">
        <v>878</v>
      </c>
    </row>
    <row r="157" customFormat="false" ht="15" hidden="false" customHeight="false" outlineLevel="0" collapsed="false">
      <c r="A157" s="19" t="s">
        <v>356</v>
      </c>
      <c r="B157" s="19" t="s">
        <v>357</v>
      </c>
      <c r="C157" s="19" t="s">
        <v>732</v>
      </c>
      <c r="D157" s="19"/>
      <c r="E157" s="34" t="s">
        <v>733</v>
      </c>
    </row>
    <row r="158" customFormat="false" ht="15" hidden="false" customHeight="false" outlineLevel="0" collapsed="false">
      <c r="A158" s="19" t="s">
        <v>359</v>
      </c>
      <c r="B158" s="19" t="s">
        <v>360</v>
      </c>
      <c r="C158" s="19" t="s">
        <v>879</v>
      </c>
      <c r="D158" s="19" t="s">
        <v>880</v>
      </c>
      <c r="E158" s="34" t="s">
        <v>881</v>
      </c>
    </row>
    <row r="159" customFormat="false" ht="15" hidden="false" customHeight="false" outlineLevel="0" collapsed="false">
      <c r="A159" s="19" t="s">
        <v>359</v>
      </c>
      <c r="B159" s="19" t="s">
        <v>360</v>
      </c>
      <c r="C159" s="19" t="s">
        <v>882</v>
      </c>
      <c r="D159" s="19" t="s">
        <v>883</v>
      </c>
      <c r="E159" s="34" t="s">
        <v>884</v>
      </c>
    </row>
    <row r="160" customFormat="false" ht="15" hidden="false" customHeight="false" outlineLevel="0" collapsed="false">
      <c r="A160" s="19" t="s">
        <v>359</v>
      </c>
      <c r="B160" s="19" t="s">
        <v>360</v>
      </c>
      <c r="C160" s="19" t="s">
        <v>885</v>
      </c>
      <c r="D160" s="19"/>
      <c r="E160" s="34" t="s">
        <v>886</v>
      </c>
    </row>
    <row r="161" customFormat="false" ht="15" hidden="false" customHeight="false" outlineLevel="0" collapsed="false">
      <c r="A161" s="19" t="s">
        <v>359</v>
      </c>
      <c r="B161" s="19" t="s">
        <v>360</v>
      </c>
      <c r="C161" s="19" t="s">
        <v>887</v>
      </c>
      <c r="D161" s="19"/>
      <c r="E161" s="34" t="s">
        <v>888</v>
      </c>
    </row>
    <row r="162" customFormat="false" ht="15" hidden="false" customHeight="false" outlineLevel="0" collapsed="false">
      <c r="A162" s="19" t="s">
        <v>359</v>
      </c>
      <c r="B162" s="19" t="s">
        <v>360</v>
      </c>
      <c r="C162" s="19" t="s">
        <v>889</v>
      </c>
      <c r="D162" s="19"/>
      <c r="E162" s="34" t="s">
        <v>890</v>
      </c>
    </row>
    <row r="163" customFormat="false" ht="15" hidden="false" customHeight="false" outlineLevel="0" collapsed="false">
      <c r="A163" s="19" t="s">
        <v>359</v>
      </c>
      <c r="B163" s="19" t="s">
        <v>360</v>
      </c>
      <c r="C163" s="19" t="s">
        <v>891</v>
      </c>
      <c r="D163" s="19"/>
      <c r="E163" s="34" t="s">
        <v>892</v>
      </c>
    </row>
    <row r="164" customFormat="false" ht="15" hidden="false" customHeight="false" outlineLevel="0" collapsed="false">
      <c r="A164" s="19" t="s">
        <v>359</v>
      </c>
      <c r="B164" s="19" t="s">
        <v>360</v>
      </c>
      <c r="C164" s="19" t="s">
        <v>893</v>
      </c>
      <c r="D164" s="19"/>
      <c r="E164" s="34" t="s">
        <v>894</v>
      </c>
    </row>
    <row r="165" customFormat="false" ht="15" hidden="false" customHeight="false" outlineLevel="0" collapsed="false">
      <c r="A165" s="19" t="s">
        <v>359</v>
      </c>
      <c r="B165" s="19" t="s">
        <v>360</v>
      </c>
      <c r="C165" s="19" t="s">
        <v>895</v>
      </c>
      <c r="D165" s="19"/>
      <c r="E165" s="34" t="s">
        <v>896</v>
      </c>
    </row>
    <row r="166" customFormat="false" ht="15" hidden="false" customHeight="false" outlineLevel="0" collapsed="false">
      <c r="A166" s="19" t="s">
        <v>359</v>
      </c>
      <c r="B166" s="19" t="s">
        <v>360</v>
      </c>
      <c r="C166" s="19" t="s">
        <v>723</v>
      </c>
      <c r="D166" s="19" t="s">
        <v>713</v>
      </c>
      <c r="E166" s="34" t="s">
        <v>897</v>
      </c>
    </row>
    <row r="167" customFormat="false" ht="15" hidden="false" customHeight="false" outlineLevel="0" collapsed="false">
      <c r="A167" s="19" t="s">
        <v>365</v>
      </c>
      <c r="B167" s="19" t="s">
        <v>366</v>
      </c>
      <c r="C167" s="19" t="s">
        <v>898</v>
      </c>
      <c r="D167" s="19"/>
      <c r="E167" s="34" t="s">
        <v>899</v>
      </c>
    </row>
    <row r="168" customFormat="false" ht="15" hidden="false" customHeight="false" outlineLevel="0" collapsed="false">
      <c r="A168" s="19" t="s">
        <v>365</v>
      </c>
      <c r="B168" s="19" t="s">
        <v>366</v>
      </c>
      <c r="C168" s="19" t="s">
        <v>900</v>
      </c>
      <c r="D168" s="19"/>
      <c r="E168" s="34" t="s">
        <v>901</v>
      </c>
    </row>
    <row r="169" customFormat="false" ht="15" hidden="false" customHeight="false" outlineLevel="0" collapsed="false">
      <c r="A169" s="19" t="s">
        <v>365</v>
      </c>
      <c r="B169" s="19" t="s">
        <v>366</v>
      </c>
      <c r="C169" s="19" t="s">
        <v>902</v>
      </c>
      <c r="D169" s="19"/>
      <c r="E169" s="34" t="s">
        <v>903</v>
      </c>
    </row>
    <row r="170" customFormat="false" ht="15" hidden="false" customHeight="false" outlineLevel="0" collapsed="false">
      <c r="A170" s="19" t="s">
        <v>365</v>
      </c>
      <c r="B170" s="19" t="s">
        <v>366</v>
      </c>
      <c r="C170" s="19" t="s">
        <v>904</v>
      </c>
      <c r="D170" s="19"/>
      <c r="E170" s="34" t="s">
        <v>905</v>
      </c>
    </row>
    <row r="171" customFormat="false" ht="15" hidden="false" customHeight="false" outlineLevel="0" collapsed="false">
      <c r="A171" s="19" t="s">
        <v>365</v>
      </c>
      <c r="B171" s="19" t="s">
        <v>366</v>
      </c>
      <c r="C171" s="19" t="s">
        <v>898</v>
      </c>
      <c r="D171" s="19"/>
      <c r="E171" s="34" t="s">
        <v>906</v>
      </c>
    </row>
    <row r="172" customFormat="false" ht="15" hidden="false" customHeight="false" outlineLevel="0" collapsed="false">
      <c r="A172" s="19" t="s">
        <v>365</v>
      </c>
      <c r="B172" s="19" t="s">
        <v>366</v>
      </c>
      <c r="C172" s="19" t="s">
        <v>723</v>
      </c>
      <c r="D172" s="19" t="s">
        <v>713</v>
      </c>
      <c r="E172" s="34" t="s">
        <v>907</v>
      </c>
    </row>
    <row r="173" customFormat="false" ht="15" hidden="false" customHeight="false" outlineLevel="0" collapsed="false">
      <c r="A173" s="19" t="s">
        <v>369</v>
      </c>
      <c r="B173" s="19" t="s">
        <v>370</v>
      </c>
      <c r="C173" s="19" t="s">
        <v>908</v>
      </c>
      <c r="D173" s="19"/>
      <c r="E173" s="34" t="s">
        <v>909</v>
      </c>
    </row>
    <row r="174" customFormat="false" ht="15" hidden="false" customHeight="false" outlineLevel="0" collapsed="false">
      <c r="A174" s="19" t="s">
        <v>369</v>
      </c>
      <c r="B174" s="19" t="s">
        <v>370</v>
      </c>
      <c r="C174" s="19" t="s">
        <v>910</v>
      </c>
      <c r="D174" s="19"/>
      <c r="E174" s="34" t="s">
        <v>911</v>
      </c>
    </row>
    <row r="175" customFormat="false" ht="15" hidden="false" customHeight="false" outlineLevel="0" collapsed="false">
      <c r="A175" s="19" t="s">
        <v>369</v>
      </c>
      <c r="B175" s="19" t="s">
        <v>370</v>
      </c>
      <c r="C175" s="19" t="s">
        <v>723</v>
      </c>
      <c r="D175" s="19" t="s">
        <v>713</v>
      </c>
      <c r="E175" s="34" t="s">
        <v>912</v>
      </c>
    </row>
    <row r="176" customFormat="false" ht="15" hidden="false" customHeight="false" outlineLevel="0" collapsed="false">
      <c r="A176" s="19" t="s">
        <v>372</v>
      </c>
      <c r="B176" s="19" t="s">
        <v>373</v>
      </c>
      <c r="C176" s="19" t="s">
        <v>913</v>
      </c>
      <c r="D176" s="19"/>
      <c r="E176" s="34" t="s">
        <v>914</v>
      </c>
    </row>
    <row r="177" customFormat="false" ht="15" hidden="false" customHeight="false" outlineLevel="0" collapsed="false">
      <c r="A177" s="19" t="s">
        <v>372</v>
      </c>
      <c r="B177" s="19" t="s">
        <v>373</v>
      </c>
      <c r="C177" s="19" t="s">
        <v>915</v>
      </c>
      <c r="D177" s="19"/>
      <c r="E177" s="34" t="s">
        <v>916</v>
      </c>
    </row>
    <row r="178" customFormat="false" ht="15" hidden="false" customHeight="false" outlineLevel="0" collapsed="false">
      <c r="A178" s="19" t="s">
        <v>372</v>
      </c>
      <c r="B178" s="19" t="s">
        <v>373</v>
      </c>
      <c r="C178" s="19" t="s">
        <v>723</v>
      </c>
      <c r="D178" s="19" t="s">
        <v>713</v>
      </c>
      <c r="E178" s="34" t="s">
        <v>917</v>
      </c>
    </row>
    <row r="179" customFormat="false" ht="15" hidden="false" customHeight="false" outlineLevel="0" collapsed="false">
      <c r="A179" s="19" t="s">
        <v>376</v>
      </c>
      <c r="B179" s="19" t="s">
        <v>377</v>
      </c>
      <c r="C179" s="19" t="s">
        <v>918</v>
      </c>
      <c r="D179" s="19"/>
      <c r="E179" s="34" t="s">
        <v>919</v>
      </c>
    </row>
    <row r="180" customFormat="false" ht="15" hidden="false" customHeight="false" outlineLevel="0" collapsed="false">
      <c r="A180" s="19" t="s">
        <v>376</v>
      </c>
      <c r="B180" s="19" t="s">
        <v>377</v>
      </c>
      <c r="C180" s="19" t="s">
        <v>920</v>
      </c>
      <c r="D180" s="19" t="s">
        <v>713</v>
      </c>
      <c r="E180" s="34" t="s">
        <v>921</v>
      </c>
    </row>
    <row r="181" customFormat="false" ht="15" hidden="false" customHeight="false" outlineLevel="0" collapsed="false">
      <c r="A181" s="19" t="s">
        <v>380</v>
      </c>
      <c r="B181" s="19" t="s">
        <v>381</v>
      </c>
      <c r="C181" s="19" t="s">
        <v>712</v>
      </c>
      <c r="D181" s="19" t="s">
        <v>713</v>
      </c>
      <c r="E181" s="34" t="s">
        <v>714</v>
      </c>
    </row>
    <row r="182" customFormat="false" ht="15" hidden="false" customHeight="false" outlineLevel="0" collapsed="false">
      <c r="A182" s="19" t="s">
        <v>380</v>
      </c>
      <c r="B182" s="19" t="s">
        <v>381</v>
      </c>
      <c r="C182" s="19" t="s">
        <v>922</v>
      </c>
      <c r="D182" s="19"/>
      <c r="E182" s="34" t="s">
        <v>923</v>
      </c>
    </row>
    <row r="183" customFormat="false" ht="15" hidden="false" customHeight="false" outlineLevel="0" collapsed="false">
      <c r="A183" s="19" t="s">
        <v>380</v>
      </c>
      <c r="B183" s="19" t="s">
        <v>381</v>
      </c>
      <c r="C183" s="19" t="s">
        <v>723</v>
      </c>
      <c r="D183" s="19" t="s">
        <v>713</v>
      </c>
      <c r="E183" s="34" t="s">
        <v>924</v>
      </c>
    </row>
    <row r="184" customFormat="false" ht="15" hidden="false" customHeight="false" outlineLevel="0" collapsed="false">
      <c r="A184" s="19" t="s">
        <v>383</v>
      </c>
      <c r="B184" s="19" t="s">
        <v>384</v>
      </c>
      <c r="C184" s="19" t="s">
        <v>925</v>
      </c>
      <c r="D184" s="19" t="s">
        <v>926</v>
      </c>
      <c r="E184" s="34" t="s">
        <v>927</v>
      </c>
    </row>
    <row r="185" customFormat="false" ht="15" hidden="false" customHeight="false" outlineLevel="0" collapsed="false">
      <c r="A185" s="19" t="s">
        <v>383</v>
      </c>
      <c r="B185" s="19" t="s">
        <v>384</v>
      </c>
      <c r="C185" s="19" t="s">
        <v>928</v>
      </c>
      <c r="D185" s="19" t="s">
        <v>929</v>
      </c>
      <c r="E185" s="34" t="s">
        <v>930</v>
      </c>
    </row>
    <row r="186" customFormat="false" ht="15" hidden="false" customHeight="false" outlineLevel="0" collapsed="false">
      <c r="A186" s="19" t="s">
        <v>383</v>
      </c>
      <c r="B186" s="19" t="s">
        <v>384</v>
      </c>
      <c r="C186" s="19" t="s">
        <v>931</v>
      </c>
      <c r="D186" s="19" t="s">
        <v>713</v>
      </c>
      <c r="E186" s="34" t="s">
        <v>932</v>
      </c>
    </row>
    <row r="187" customFormat="false" ht="15" hidden="false" customHeight="false" outlineLevel="0" collapsed="false">
      <c r="A187" s="19" t="s">
        <v>383</v>
      </c>
      <c r="B187" s="19" t="s">
        <v>384</v>
      </c>
      <c r="C187" s="19" t="s">
        <v>712</v>
      </c>
      <c r="D187" s="19" t="s">
        <v>713</v>
      </c>
      <c r="E187" s="34" t="s">
        <v>714</v>
      </c>
    </row>
    <row r="188" customFormat="false" ht="15" hidden="false" customHeight="false" outlineLevel="0" collapsed="false">
      <c r="A188" s="19" t="s">
        <v>387</v>
      </c>
      <c r="B188" s="19" t="s">
        <v>388</v>
      </c>
      <c r="C188" s="19" t="s">
        <v>715</v>
      </c>
      <c r="D188" s="19" t="s">
        <v>713</v>
      </c>
      <c r="E188" s="34" t="s">
        <v>716</v>
      </c>
    </row>
    <row r="189" customFormat="false" ht="15" hidden="false" customHeight="false" outlineLevel="0" collapsed="false">
      <c r="A189" s="19" t="s">
        <v>387</v>
      </c>
      <c r="B189" s="19" t="s">
        <v>388</v>
      </c>
      <c r="C189" s="19" t="s">
        <v>758</v>
      </c>
      <c r="D189" s="19" t="s">
        <v>713</v>
      </c>
      <c r="E189" s="34" t="s">
        <v>759</v>
      </c>
    </row>
    <row r="190" customFormat="false" ht="15" hidden="false" customHeight="false" outlineLevel="0" collapsed="false">
      <c r="A190" s="19" t="s">
        <v>387</v>
      </c>
      <c r="B190" s="19" t="s">
        <v>388</v>
      </c>
      <c r="C190" s="19" t="s">
        <v>933</v>
      </c>
      <c r="D190" s="19"/>
      <c r="E190" s="34" t="s">
        <v>934</v>
      </c>
    </row>
    <row r="191" customFormat="false" ht="15" hidden="false" customHeight="false" outlineLevel="0" collapsed="false">
      <c r="A191" s="19" t="s">
        <v>387</v>
      </c>
      <c r="B191" s="19" t="s">
        <v>388</v>
      </c>
      <c r="C191" s="19" t="s">
        <v>935</v>
      </c>
      <c r="D191" s="19"/>
      <c r="E191" s="34" t="s">
        <v>936</v>
      </c>
    </row>
    <row r="192" customFormat="false" ht="15" hidden="false" customHeight="false" outlineLevel="0" collapsed="false">
      <c r="A192" s="19" t="s">
        <v>387</v>
      </c>
      <c r="B192" s="19" t="s">
        <v>388</v>
      </c>
      <c r="C192" s="19" t="s">
        <v>937</v>
      </c>
      <c r="D192" s="19"/>
      <c r="E192" s="34" t="s">
        <v>938</v>
      </c>
    </row>
    <row r="193" customFormat="false" ht="15" hidden="false" customHeight="false" outlineLevel="0" collapsed="false">
      <c r="A193" s="19" t="s">
        <v>387</v>
      </c>
      <c r="B193" s="19" t="s">
        <v>388</v>
      </c>
      <c r="C193" s="19" t="s">
        <v>939</v>
      </c>
      <c r="D193" s="19"/>
      <c r="E193" s="34" t="s">
        <v>940</v>
      </c>
    </row>
    <row r="194" customFormat="false" ht="15" hidden="false" customHeight="false" outlineLevel="0" collapsed="false">
      <c r="A194" s="19" t="s">
        <v>387</v>
      </c>
      <c r="B194" s="19" t="s">
        <v>388</v>
      </c>
      <c r="C194" s="19" t="s">
        <v>941</v>
      </c>
      <c r="D194" s="19"/>
      <c r="E194" s="34" t="s">
        <v>942</v>
      </c>
    </row>
    <row r="195" customFormat="false" ht="15" hidden="false" customHeight="false" outlineLevel="0" collapsed="false">
      <c r="A195" s="19" t="s">
        <v>387</v>
      </c>
      <c r="B195" s="19" t="s">
        <v>388</v>
      </c>
      <c r="C195" s="19" t="s">
        <v>943</v>
      </c>
      <c r="D195" s="19"/>
      <c r="E195" s="34" t="s">
        <v>944</v>
      </c>
    </row>
    <row r="196" customFormat="false" ht="15" hidden="false" customHeight="false" outlineLevel="0" collapsed="false">
      <c r="A196" s="19" t="s">
        <v>387</v>
      </c>
      <c r="B196" s="19" t="s">
        <v>388</v>
      </c>
      <c r="C196" s="19" t="s">
        <v>723</v>
      </c>
      <c r="D196" s="19" t="s">
        <v>713</v>
      </c>
      <c r="E196" s="34" t="s">
        <v>945</v>
      </c>
    </row>
    <row r="197" customFormat="false" ht="15" hidden="false" customHeight="false" outlineLevel="0" collapsed="false">
      <c r="A197" s="19" t="s">
        <v>391</v>
      </c>
      <c r="B197" s="19" t="s">
        <v>392</v>
      </c>
      <c r="C197" s="19" t="s">
        <v>946</v>
      </c>
      <c r="D197" s="19"/>
      <c r="E197" s="34" t="s">
        <v>947</v>
      </c>
    </row>
    <row r="198" customFormat="false" ht="15" hidden="false" customHeight="false" outlineLevel="0" collapsed="false">
      <c r="A198" s="19" t="s">
        <v>391</v>
      </c>
      <c r="B198" s="19" t="s">
        <v>392</v>
      </c>
      <c r="C198" s="19" t="s">
        <v>948</v>
      </c>
      <c r="D198" s="19"/>
      <c r="E198" s="34" t="s">
        <v>949</v>
      </c>
    </row>
    <row r="199" customFormat="false" ht="15" hidden="false" customHeight="false" outlineLevel="0" collapsed="false">
      <c r="A199" s="19" t="s">
        <v>391</v>
      </c>
      <c r="B199" s="19" t="s">
        <v>392</v>
      </c>
      <c r="C199" s="19" t="s">
        <v>950</v>
      </c>
      <c r="D199" s="19"/>
      <c r="E199" s="34" t="s">
        <v>951</v>
      </c>
    </row>
    <row r="200" customFormat="false" ht="15" hidden="false" customHeight="false" outlineLevel="0" collapsed="false">
      <c r="A200" s="19" t="s">
        <v>391</v>
      </c>
      <c r="B200" s="19" t="s">
        <v>392</v>
      </c>
      <c r="C200" s="19" t="s">
        <v>723</v>
      </c>
      <c r="D200" s="19" t="s">
        <v>713</v>
      </c>
      <c r="E200" s="34" t="s">
        <v>952</v>
      </c>
    </row>
    <row r="201" customFormat="false" ht="15" hidden="false" customHeight="false" outlineLevel="0" collapsed="false">
      <c r="A201" s="19" t="s">
        <v>395</v>
      </c>
      <c r="B201" s="19" t="s">
        <v>396</v>
      </c>
      <c r="C201" s="19" t="s">
        <v>953</v>
      </c>
      <c r="D201" s="19" t="s">
        <v>954</v>
      </c>
      <c r="E201" s="34" t="s">
        <v>955</v>
      </c>
    </row>
    <row r="202" customFormat="false" ht="15" hidden="false" customHeight="false" outlineLevel="0" collapsed="false">
      <c r="A202" s="19" t="s">
        <v>395</v>
      </c>
      <c r="B202" s="19" t="s">
        <v>396</v>
      </c>
      <c r="C202" s="19" t="s">
        <v>956</v>
      </c>
      <c r="D202" s="19" t="s">
        <v>713</v>
      </c>
      <c r="E202" s="34" t="s">
        <v>957</v>
      </c>
    </row>
    <row r="203" customFormat="false" ht="15" hidden="false" customHeight="false" outlineLevel="0" collapsed="false">
      <c r="A203" s="19" t="s">
        <v>395</v>
      </c>
      <c r="B203" s="19" t="s">
        <v>396</v>
      </c>
      <c r="C203" s="19" t="s">
        <v>958</v>
      </c>
      <c r="D203" s="19"/>
      <c r="E203" s="34" t="s">
        <v>959</v>
      </c>
    </row>
    <row r="204" customFormat="false" ht="15" hidden="false" customHeight="false" outlineLevel="0" collapsed="false">
      <c r="A204" s="19" t="s">
        <v>395</v>
      </c>
      <c r="B204" s="19" t="s">
        <v>396</v>
      </c>
      <c r="C204" s="19" t="s">
        <v>960</v>
      </c>
      <c r="D204" s="19"/>
      <c r="E204" s="34" t="s">
        <v>961</v>
      </c>
    </row>
    <row r="205" customFormat="false" ht="15" hidden="false" customHeight="false" outlineLevel="0" collapsed="false">
      <c r="A205" s="19" t="s">
        <v>395</v>
      </c>
      <c r="B205" s="19" t="s">
        <v>396</v>
      </c>
      <c r="C205" s="19" t="s">
        <v>723</v>
      </c>
      <c r="D205" s="19" t="s">
        <v>713</v>
      </c>
      <c r="E205" s="34" t="s">
        <v>962</v>
      </c>
    </row>
    <row r="206" customFormat="false" ht="15" hidden="false" customHeight="false" outlineLevel="0" collapsed="false">
      <c r="A206" s="19" t="s">
        <v>399</v>
      </c>
      <c r="B206" s="19" t="s">
        <v>400</v>
      </c>
      <c r="C206" s="19" t="s">
        <v>963</v>
      </c>
      <c r="D206" s="19" t="s">
        <v>964</v>
      </c>
      <c r="E206" s="34" t="s">
        <v>965</v>
      </c>
    </row>
    <row r="207" customFormat="false" ht="15" hidden="false" customHeight="false" outlineLevel="0" collapsed="false">
      <c r="A207" s="19" t="s">
        <v>399</v>
      </c>
      <c r="B207" s="19" t="s">
        <v>400</v>
      </c>
      <c r="C207" s="19" t="s">
        <v>966</v>
      </c>
      <c r="D207" s="19"/>
      <c r="E207" s="34" t="s">
        <v>967</v>
      </c>
    </row>
    <row r="208" customFormat="false" ht="15" hidden="false" customHeight="false" outlineLevel="0" collapsed="false">
      <c r="A208" s="19" t="s">
        <v>399</v>
      </c>
      <c r="B208" s="19" t="s">
        <v>400</v>
      </c>
      <c r="C208" s="19" t="s">
        <v>968</v>
      </c>
      <c r="D208" s="19"/>
      <c r="E208" s="34" t="s">
        <v>969</v>
      </c>
    </row>
    <row r="209" customFormat="false" ht="15" hidden="false" customHeight="false" outlineLevel="0" collapsed="false">
      <c r="A209" s="19" t="s">
        <v>399</v>
      </c>
      <c r="B209" s="19" t="s">
        <v>400</v>
      </c>
      <c r="C209" s="19" t="s">
        <v>970</v>
      </c>
      <c r="D209" s="19"/>
      <c r="E209" s="34" t="s">
        <v>971</v>
      </c>
    </row>
    <row r="210" customFormat="false" ht="15" hidden="false" customHeight="false" outlineLevel="0" collapsed="false">
      <c r="A210" s="19" t="s">
        <v>399</v>
      </c>
      <c r="B210" s="19" t="s">
        <v>400</v>
      </c>
      <c r="C210" s="19" t="s">
        <v>972</v>
      </c>
      <c r="D210" s="19"/>
      <c r="E210" s="34" t="s">
        <v>973</v>
      </c>
    </row>
    <row r="211" customFormat="false" ht="15" hidden="false" customHeight="false" outlineLevel="0" collapsed="false">
      <c r="A211" s="19" t="s">
        <v>399</v>
      </c>
      <c r="B211" s="19" t="s">
        <v>400</v>
      </c>
      <c r="C211" s="19" t="s">
        <v>974</v>
      </c>
      <c r="D211" s="19"/>
      <c r="E211" s="34" t="s">
        <v>975</v>
      </c>
    </row>
    <row r="212" customFormat="false" ht="15" hidden="false" customHeight="false" outlineLevel="0" collapsed="false">
      <c r="A212" s="19" t="s">
        <v>399</v>
      </c>
      <c r="B212" s="19" t="s">
        <v>400</v>
      </c>
      <c r="C212" s="19" t="s">
        <v>976</v>
      </c>
      <c r="D212" s="19"/>
      <c r="E212" s="34" t="s">
        <v>977</v>
      </c>
    </row>
    <row r="213" customFormat="false" ht="15" hidden="false" customHeight="false" outlineLevel="0" collapsed="false">
      <c r="A213" s="19" t="s">
        <v>399</v>
      </c>
      <c r="B213" s="19" t="s">
        <v>400</v>
      </c>
      <c r="C213" s="19" t="s">
        <v>978</v>
      </c>
      <c r="D213" s="19"/>
      <c r="E213" s="34" t="s">
        <v>979</v>
      </c>
    </row>
    <row r="214" customFormat="false" ht="15" hidden="false" customHeight="false" outlineLevel="0" collapsed="false">
      <c r="A214" s="19" t="s">
        <v>399</v>
      </c>
      <c r="B214" s="19" t="s">
        <v>400</v>
      </c>
      <c r="C214" s="19" t="s">
        <v>723</v>
      </c>
      <c r="D214" s="19" t="s">
        <v>713</v>
      </c>
      <c r="E214" s="34" t="s">
        <v>980</v>
      </c>
    </row>
    <row r="215" customFormat="false" ht="15" hidden="false" customHeight="false" outlineLevel="0" collapsed="false">
      <c r="A215" s="19" t="s">
        <v>405</v>
      </c>
      <c r="B215" s="19" t="s">
        <v>406</v>
      </c>
      <c r="C215" s="19" t="s">
        <v>981</v>
      </c>
      <c r="D215" s="19"/>
      <c r="E215" s="34" t="s">
        <v>982</v>
      </c>
    </row>
    <row r="216" customFormat="false" ht="15" hidden="false" customHeight="false" outlineLevel="0" collapsed="false">
      <c r="A216" s="19" t="s">
        <v>405</v>
      </c>
      <c r="B216" s="19" t="s">
        <v>406</v>
      </c>
      <c r="C216" s="19" t="s">
        <v>983</v>
      </c>
      <c r="D216" s="19"/>
      <c r="E216" s="34" t="s">
        <v>984</v>
      </c>
    </row>
    <row r="217" customFormat="false" ht="15" hidden="false" customHeight="false" outlineLevel="0" collapsed="false">
      <c r="A217" s="19" t="s">
        <v>405</v>
      </c>
      <c r="B217" s="19" t="s">
        <v>406</v>
      </c>
      <c r="C217" s="19" t="s">
        <v>985</v>
      </c>
      <c r="D217" s="19"/>
      <c r="E217" s="34" t="s">
        <v>986</v>
      </c>
    </row>
    <row r="218" customFormat="false" ht="15" hidden="false" customHeight="false" outlineLevel="0" collapsed="false">
      <c r="A218" s="19" t="s">
        <v>405</v>
      </c>
      <c r="B218" s="19" t="s">
        <v>406</v>
      </c>
      <c r="C218" s="19" t="s">
        <v>987</v>
      </c>
      <c r="D218" s="19"/>
      <c r="E218" s="34" t="s">
        <v>988</v>
      </c>
    </row>
    <row r="219" customFormat="false" ht="15" hidden="false" customHeight="false" outlineLevel="0" collapsed="false">
      <c r="A219" s="19" t="s">
        <v>405</v>
      </c>
      <c r="B219" s="19" t="s">
        <v>406</v>
      </c>
      <c r="C219" s="19" t="s">
        <v>723</v>
      </c>
      <c r="D219" s="19" t="s">
        <v>713</v>
      </c>
      <c r="E219" s="34" t="s">
        <v>989</v>
      </c>
    </row>
    <row r="220" customFormat="false" ht="15" hidden="false" customHeight="false" outlineLevel="0" collapsed="false">
      <c r="A220" s="19" t="s">
        <v>410</v>
      </c>
      <c r="B220" s="19" t="s">
        <v>411</v>
      </c>
      <c r="C220" s="19" t="s">
        <v>990</v>
      </c>
      <c r="D220" s="19" t="s">
        <v>991</v>
      </c>
      <c r="E220" s="34" t="s">
        <v>992</v>
      </c>
    </row>
    <row r="221" customFormat="false" ht="15" hidden="false" customHeight="false" outlineLevel="0" collapsed="false">
      <c r="A221" s="19" t="s">
        <v>410</v>
      </c>
      <c r="B221" s="19" t="s">
        <v>411</v>
      </c>
      <c r="C221" s="19" t="s">
        <v>993</v>
      </c>
      <c r="D221" s="19"/>
      <c r="E221" s="34" t="s">
        <v>994</v>
      </c>
    </row>
    <row r="222" customFormat="false" ht="15" hidden="false" customHeight="false" outlineLevel="0" collapsed="false">
      <c r="A222" s="19" t="s">
        <v>410</v>
      </c>
      <c r="B222" s="19" t="s">
        <v>411</v>
      </c>
      <c r="C222" s="19" t="s">
        <v>995</v>
      </c>
      <c r="D222" s="19"/>
      <c r="E222" s="34" t="s">
        <v>996</v>
      </c>
    </row>
    <row r="223" customFormat="false" ht="15" hidden="false" customHeight="false" outlineLevel="0" collapsed="false">
      <c r="A223" s="19" t="s">
        <v>410</v>
      </c>
      <c r="B223" s="19" t="s">
        <v>411</v>
      </c>
      <c r="C223" s="19" t="s">
        <v>997</v>
      </c>
      <c r="D223" s="19" t="s">
        <v>713</v>
      </c>
      <c r="E223" s="34" t="s">
        <v>998</v>
      </c>
    </row>
    <row r="224" customFormat="false" ht="15" hidden="false" customHeight="false" outlineLevel="0" collapsed="false">
      <c r="A224" s="19" t="s">
        <v>414</v>
      </c>
      <c r="B224" s="19" t="s">
        <v>415</v>
      </c>
      <c r="C224" s="19" t="s">
        <v>715</v>
      </c>
      <c r="D224" s="19" t="s">
        <v>713</v>
      </c>
      <c r="E224" s="34" t="s">
        <v>716</v>
      </c>
    </row>
    <row r="225" customFormat="false" ht="15" hidden="false" customHeight="false" outlineLevel="0" collapsed="false">
      <c r="A225" s="19" t="s">
        <v>414</v>
      </c>
      <c r="B225" s="19" t="s">
        <v>415</v>
      </c>
      <c r="C225" s="19" t="s">
        <v>999</v>
      </c>
      <c r="D225" s="19"/>
      <c r="E225" s="34" t="s">
        <v>1000</v>
      </c>
    </row>
    <row r="226" customFormat="false" ht="15" hidden="false" customHeight="false" outlineLevel="0" collapsed="false">
      <c r="A226" s="19" t="s">
        <v>414</v>
      </c>
      <c r="B226" s="19" t="s">
        <v>415</v>
      </c>
      <c r="C226" s="19" t="s">
        <v>723</v>
      </c>
      <c r="D226" s="19" t="s">
        <v>713</v>
      </c>
      <c r="E226" s="34" t="s">
        <v>1001</v>
      </c>
    </row>
    <row r="227" customFormat="false" ht="15" hidden="false" customHeight="false" outlineLevel="0" collapsed="false">
      <c r="A227" s="19" t="s">
        <v>419</v>
      </c>
      <c r="B227" s="19" t="s">
        <v>420</v>
      </c>
      <c r="C227" s="19" t="s">
        <v>1002</v>
      </c>
      <c r="D227" s="19" t="s">
        <v>1003</v>
      </c>
      <c r="E227" s="34" t="s">
        <v>1004</v>
      </c>
    </row>
    <row r="228" customFormat="false" ht="15" hidden="false" customHeight="false" outlineLevel="0" collapsed="false">
      <c r="A228" s="19" t="s">
        <v>419</v>
      </c>
      <c r="B228" s="19" t="s">
        <v>420</v>
      </c>
      <c r="C228" s="19" t="s">
        <v>1005</v>
      </c>
      <c r="D228" s="19" t="s">
        <v>713</v>
      </c>
      <c r="E228" s="34" t="s">
        <v>1006</v>
      </c>
    </row>
    <row r="229" customFormat="false" ht="15" hidden="false" customHeight="false" outlineLevel="0" collapsed="false">
      <c r="A229" s="19" t="s">
        <v>419</v>
      </c>
      <c r="B229" s="19" t="s">
        <v>420</v>
      </c>
      <c r="C229" s="19" t="s">
        <v>1007</v>
      </c>
      <c r="D229" s="19" t="s">
        <v>1008</v>
      </c>
      <c r="E229" s="34" t="s">
        <v>1009</v>
      </c>
    </row>
    <row r="230" customFormat="false" ht="15" hidden="false" customHeight="false" outlineLevel="0" collapsed="false">
      <c r="A230" s="19" t="s">
        <v>422</v>
      </c>
      <c r="B230" s="19" t="s">
        <v>423</v>
      </c>
      <c r="C230" s="19" t="s">
        <v>1010</v>
      </c>
      <c r="D230" s="19"/>
      <c r="E230" s="34" t="s">
        <v>869</v>
      </c>
    </row>
    <row r="231" customFormat="false" ht="15" hidden="false" customHeight="false" outlineLevel="0" collapsed="false">
      <c r="A231" s="19" t="s">
        <v>422</v>
      </c>
      <c r="B231" s="19" t="s">
        <v>423</v>
      </c>
      <c r="C231" s="19" t="s">
        <v>723</v>
      </c>
      <c r="D231" s="19" t="s">
        <v>713</v>
      </c>
      <c r="E231" s="34" t="s">
        <v>1011</v>
      </c>
    </row>
    <row r="232" customFormat="false" ht="15" hidden="false" customHeight="false" outlineLevel="0" collapsed="false">
      <c r="A232" s="19" t="s">
        <v>425</v>
      </c>
      <c r="B232" s="19" t="s">
        <v>426</v>
      </c>
      <c r="C232" s="19" t="s">
        <v>1012</v>
      </c>
      <c r="D232" s="19"/>
      <c r="E232" s="34" t="s">
        <v>1013</v>
      </c>
    </row>
    <row r="233" customFormat="false" ht="15" hidden="false" customHeight="false" outlineLevel="0" collapsed="false">
      <c r="A233" s="19" t="s">
        <v>425</v>
      </c>
      <c r="B233" s="19" t="s">
        <v>426</v>
      </c>
      <c r="C233" s="19" t="s">
        <v>1014</v>
      </c>
      <c r="D233" s="19" t="s">
        <v>1015</v>
      </c>
      <c r="E233" s="34" t="s">
        <v>1016</v>
      </c>
    </row>
    <row r="234" customFormat="false" ht="15" hidden="false" customHeight="false" outlineLevel="0" collapsed="false">
      <c r="A234" s="19" t="s">
        <v>425</v>
      </c>
      <c r="B234" s="19" t="s">
        <v>426</v>
      </c>
      <c r="C234" s="19" t="s">
        <v>1017</v>
      </c>
      <c r="D234" s="19"/>
      <c r="E234" s="34" t="s">
        <v>1018</v>
      </c>
    </row>
    <row r="235" customFormat="false" ht="15" hidden="false" customHeight="false" outlineLevel="0" collapsed="false">
      <c r="A235" s="19" t="s">
        <v>427</v>
      </c>
      <c r="B235" s="19" t="s">
        <v>428</v>
      </c>
      <c r="C235" s="19" t="s">
        <v>1019</v>
      </c>
      <c r="D235" s="19"/>
      <c r="E235" s="34" t="s">
        <v>1020</v>
      </c>
    </row>
    <row r="236" customFormat="false" ht="15" hidden="false" customHeight="false" outlineLevel="0" collapsed="false">
      <c r="A236" s="19" t="s">
        <v>427</v>
      </c>
      <c r="B236" s="19" t="s">
        <v>428</v>
      </c>
      <c r="C236" s="19" t="s">
        <v>723</v>
      </c>
      <c r="D236" s="19" t="s">
        <v>713</v>
      </c>
      <c r="E236" s="34" t="s">
        <v>1021</v>
      </c>
    </row>
    <row r="237" customFormat="false" ht="15" hidden="false" customHeight="false" outlineLevel="0" collapsed="false">
      <c r="A237" s="19" t="s">
        <v>429</v>
      </c>
      <c r="B237" s="19" t="s">
        <v>430</v>
      </c>
      <c r="C237" s="19" t="s">
        <v>1022</v>
      </c>
      <c r="D237" s="19"/>
      <c r="E237" s="34" t="s">
        <v>1023</v>
      </c>
    </row>
    <row r="238" customFormat="false" ht="15" hidden="false" customHeight="false" outlineLevel="0" collapsed="false">
      <c r="A238" s="19" t="s">
        <v>429</v>
      </c>
      <c r="B238" s="19" t="s">
        <v>430</v>
      </c>
      <c r="C238" s="19" t="s">
        <v>723</v>
      </c>
      <c r="D238" s="19" t="s">
        <v>713</v>
      </c>
      <c r="E238" s="34" t="s">
        <v>1024</v>
      </c>
    </row>
    <row r="239" customFormat="false" ht="15" hidden="false" customHeight="false" outlineLevel="0" collapsed="false">
      <c r="A239" s="19" t="s">
        <v>432</v>
      </c>
      <c r="B239" s="19" t="s">
        <v>433</v>
      </c>
      <c r="C239" s="19" t="s">
        <v>1025</v>
      </c>
      <c r="D239" s="19" t="s">
        <v>1026</v>
      </c>
      <c r="E239" s="34" t="s">
        <v>1027</v>
      </c>
    </row>
    <row r="240" customFormat="false" ht="15" hidden="false" customHeight="false" outlineLevel="0" collapsed="false">
      <c r="A240" s="19" t="s">
        <v>432</v>
      </c>
      <c r="B240" s="19" t="s">
        <v>433</v>
      </c>
      <c r="C240" s="19" t="s">
        <v>1028</v>
      </c>
      <c r="D240" s="19"/>
      <c r="E240" s="34" t="s">
        <v>1029</v>
      </c>
    </row>
    <row r="241" customFormat="false" ht="15" hidden="false" customHeight="false" outlineLevel="0" collapsed="false">
      <c r="A241" s="19" t="s">
        <v>432</v>
      </c>
      <c r="B241" s="19" t="s">
        <v>433</v>
      </c>
      <c r="C241" s="19" t="s">
        <v>1030</v>
      </c>
      <c r="D241" s="19"/>
      <c r="E241" s="34" t="s">
        <v>1031</v>
      </c>
    </row>
    <row r="242" customFormat="false" ht="15" hidden="false" customHeight="false" outlineLevel="0" collapsed="false">
      <c r="A242" s="19" t="s">
        <v>432</v>
      </c>
      <c r="B242" s="19" t="s">
        <v>433</v>
      </c>
      <c r="C242" s="19" t="s">
        <v>1032</v>
      </c>
      <c r="D242" s="19"/>
      <c r="E242" s="34" t="s">
        <v>1033</v>
      </c>
    </row>
    <row r="243" customFormat="false" ht="15" hidden="false" customHeight="false" outlineLevel="0" collapsed="false">
      <c r="A243" s="19" t="s">
        <v>432</v>
      </c>
      <c r="B243" s="19" t="s">
        <v>433</v>
      </c>
      <c r="C243" s="19" t="s">
        <v>1034</v>
      </c>
      <c r="D243" s="19"/>
      <c r="E243" s="34" t="s">
        <v>1035</v>
      </c>
    </row>
    <row r="244" customFormat="false" ht="15" hidden="false" customHeight="false" outlineLevel="0" collapsed="false">
      <c r="A244" s="19" t="s">
        <v>432</v>
      </c>
      <c r="B244" s="19" t="s">
        <v>433</v>
      </c>
      <c r="C244" s="19" t="s">
        <v>1036</v>
      </c>
      <c r="D244" s="19"/>
      <c r="E244" s="34" t="s">
        <v>1037</v>
      </c>
    </row>
    <row r="245" customFormat="false" ht="15" hidden="false" customHeight="false" outlineLevel="0" collapsed="false">
      <c r="A245" s="19" t="s">
        <v>432</v>
      </c>
      <c r="B245" s="19" t="s">
        <v>433</v>
      </c>
      <c r="C245" s="19" t="s">
        <v>1038</v>
      </c>
      <c r="D245" s="19"/>
      <c r="E245" s="34" t="s">
        <v>1039</v>
      </c>
    </row>
    <row r="246" customFormat="false" ht="15" hidden="false" customHeight="false" outlineLevel="0" collapsed="false">
      <c r="A246" s="19" t="s">
        <v>432</v>
      </c>
      <c r="B246" s="19" t="s">
        <v>433</v>
      </c>
      <c r="C246" s="19" t="s">
        <v>1040</v>
      </c>
      <c r="D246" s="19"/>
      <c r="E246" s="34" t="s">
        <v>1041</v>
      </c>
    </row>
    <row r="247" customFormat="false" ht="15" hidden="false" customHeight="false" outlineLevel="0" collapsed="false">
      <c r="A247" s="19" t="s">
        <v>432</v>
      </c>
      <c r="B247" s="19" t="s">
        <v>433</v>
      </c>
      <c r="C247" s="19" t="s">
        <v>1042</v>
      </c>
      <c r="D247" s="19"/>
      <c r="E247" s="34" t="s">
        <v>1043</v>
      </c>
    </row>
    <row r="248" customFormat="false" ht="15" hidden="false" customHeight="false" outlineLevel="0" collapsed="false">
      <c r="A248" s="19" t="s">
        <v>432</v>
      </c>
      <c r="B248" s="19" t="s">
        <v>433</v>
      </c>
      <c r="C248" s="19" t="s">
        <v>1044</v>
      </c>
      <c r="D248" s="19"/>
      <c r="E248" s="34" t="s">
        <v>1029</v>
      </c>
    </row>
    <row r="249" customFormat="false" ht="15" hidden="false" customHeight="false" outlineLevel="0" collapsed="false">
      <c r="A249" s="19" t="s">
        <v>432</v>
      </c>
      <c r="B249" s="19" t="s">
        <v>433</v>
      </c>
      <c r="C249" s="19" t="s">
        <v>1045</v>
      </c>
      <c r="D249" s="19"/>
      <c r="E249" s="34" t="s">
        <v>1046</v>
      </c>
    </row>
    <row r="250" customFormat="false" ht="15" hidden="false" customHeight="false" outlineLevel="0" collapsed="false">
      <c r="A250" s="19" t="s">
        <v>432</v>
      </c>
      <c r="B250" s="19" t="s">
        <v>433</v>
      </c>
      <c r="C250" s="19" t="s">
        <v>723</v>
      </c>
      <c r="D250" s="19" t="s">
        <v>713</v>
      </c>
      <c r="E250" s="34" t="s">
        <v>1047</v>
      </c>
    </row>
    <row r="251" customFormat="false" ht="15" hidden="false" customHeight="false" outlineLevel="0" collapsed="false">
      <c r="A251" s="19" t="s">
        <v>437</v>
      </c>
      <c r="B251" s="19" t="s">
        <v>438</v>
      </c>
      <c r="C251" s="19" t="s">
        <v>999</v>
      </c>
      <c r="D251" s="19"/>
      <c r="E251" s="34" t="s">
        <v>1000</v>
      </c>
    </row>
    <row r="252" customFormat="false" ht="15" hidden="false" customHeight="false" outlineLevel="0" collapsed="false">
      <c r="A252" s="19" t="s">
        <v>437</v>
      </c>
      <c r="B252" s="19" t="s">
        <v>438</v>
      </c>
      <c r="C252" s="19" t="s">
        <v>723</v>
      </c>
      <c r="D252" s="19" t="s">
        <v>713</v>
      </c>
      <c r="E252" s="34" t="s">
        <v>1048</v>
      </c>
    </row>
    <row r="253" customFormat="false" ht="15" hidden="false" customHeight="false" outlineLevel="0" collapsed="false">
      <c r="A253" s="19" t="s">
        <v>440</v>
      </c>
      <c r="B253" s="19" t="s">
        <v>441</v>
      </c>
      <c r="C253" s="19" t="s">
        <v>1049</v>
      </c>
      <c r="D253" s="19"/>
      <c r="E253" s="34" t="s">
        <v>1050</v>
      </c>
    </row>
    <row r="254" customFormat="false" ht="15" hidden="false" customHeight="false" outlineLevel="0" collapsed="false">
      <c r="A254" s="19" t="s">
        <v>440</v>
      </c>
      <c r="B254" s="19" t="s">
        <v>441</v>
      </c>
      <c r="C254" s="19" t="s">
        <v>1051</v>
      </c>
      <c r="D254" s="19"/>
      <c r="E254" s="34" t="s">
        <v>1052</v>
      </c>
    </row>
    <row r="255" customFormat="false" ht="15" hidden="false" customHeight="false" outlineLevel="0" collapsed="false">
      <c r="A255" s="19" t="s">
        <v>440</v>
      </c>
      <c r="B255" s="19" t="s">
        <v>441</v>
      </c>
      <c r="C255" s="19" t="s">
        <v>723</v>
      </c>
      <c r="D255" s="19" t="s">
        <v>713</v>
      </c>
      <c r="E255" s="34" t="s">
        <v>1053</v>
      </c>
    </row>
    <row r="256" customFormat="false" ht="15" hidden="false" customHeight="false" outlineLevel="0" collapsed="false">
      <c r="A256" s="19" t="s">
        <v>444</v>
      </c>
      <c r="B256" s="19" t="s">
        <v>445</v>
      </c>
      <c r="C256" s="19" t="s">
        <v>1054</v>
      </c>
      <c r="D256" s="19"/>
      <c r="E256" s="34" t="s">
        <v>1055</v>
      </c>
    </row>
    <row r="257" customFormat="false" ht="15" hidden="false" customHeight="false" outlineLevel="0" collapsed="false">
      <c r="A257" s="19" t="s">
        <v>444</v>
      </c>
      <c r="B257" s="19" t="s">
        <v>445</v>
      </c>
      <c r="C257" s="19" t="s">
        <v>1056</v>
      </c>
      <c r="D257" s="19"/>
      <c r="E257" s="34" t="s">
        <v>1057</v>
      </c>
    </row>
    <row r="258" customFormat="false" ht="15" hidden="false" customHeight="false" outlineLevel="0" collapsed="false">
      <c r="A258" s="19" t="s">
        <v>444</v>
      </c>
      <c r="B258" s="19" t="s">
        <v>445</v>
      </c>
      <c r="C258" s="19" t="s">
        <v>1058</v>
      </c>
      <c r="D258" s="19"/>
      <c r="E258" s="34" t="s">
        <v>1059</v>
      </c>
    </row>
    <row r="259" customFormat="false" ht="15" hidden="false" customHeight="false" outlineLevel="0" collapsed="false">
      <c r="A259" s="19" t="s">
        <v>444</v>
      </c>
      <c r="B259" s="19" t="s">
        <v>445</v>
      </c>
      <c r="C259" s="19" t="s">
        <v>723</v>
      </c>
      <c r="D259" s="19" t="s">
        <v>713</v>
      </c>
      <c r="E259" s="34" t="s">
        <v>1060</v>
      </c>
    </row>
    <row r="260" customFormat="false" ht="15" hidden="false" customHeight="false" outlineLevel="0" collapsed="false">
      <c r="A260" s="19" t="s">
        <v>448</v>
      </c>
      <c r="B260" s="19" t="s">
        <v>449</v>
      </c>
      <c r="C260" s="19" t="s">
        <v>1061</v>
      </c>
      <c r="D260" s="19" t="s">
        <v>1062</v>
      </c>
      <c r="E260" s="34" t="s">
        <v>1063</v>
      </c>
    </row>
    <row r="261" customFormat="false" ht="15" hidden="false" customHeight="false" outlineLevel="0" collapsed="false">
      <c r="A261" s="19" t="s">
        <v>450</v>
      </c>
      <c r="B261" s="19" t="s">
        <v>451</v>
      </c>
      <c r="C261" s="19" t="s">
        <v>882</v>
      </c>
      <c r="D261" s="19" t="s">
        <v>883</v>
      </c>
      <c r="E261" s="34" t="s">
        <v>884</v>
      </c>
    </row>
    <row r="262" customFormat="false" ht="15" hidden="false" customHeight="false" outlineLevel="0" collapsed="false">
      <c r="A262" s="19" t="s">
        <v>450</v>
      </c>
      <c r="B262" s="19" t="s">
        <v>451</v>
      </c>
      <c r="C262" s="19" t="s">
        <v>1064</v>
      </c>
      <c r="D262" s="19"/>
      <c r="E262" s="34" t="s">
        <v>1065</v>
      </c>
    </row>
    <row r="263" customFormat="false" ht="15" hidden="false" customHeight="false" outlineLevel="0" collapsed="false">
      <c r="A263" s="19" t="s">
        <v>450</v>
      </c>
      <c r="B263" s="19" t="s">
        <v>451</v>
      </c>
      <c r="C263" s="19" t="s">
        <v>1066</v>
      </c>
      <c r="D263" s="19"/>
      <c r="E263" s="34" t="s">
        <v>1067</v>
      </c>
    </row>
    <row r="264" customFormat="false" ht="15" hidden="false" customHeight="false" outlineLevel="0" collapsed="false">
      <c r="A264" s="19" t="s">
        <v>450</v>
      </c>
      <c r="B264" s="19" t="s">
        <v>451</v>
      </c>
      <c r="C264" s="19" t="s">
        <v>1068</v>
      </c>
      <c r="D264" s="19"/>
      <c r="E264" s="34" t="s">
        <v>1069</v>
      </c>
    </row>
    <row r="265" customFormat="false" ht="15" hidden="false" customHeight="false" outlineLevel="0" collapsed="false">
      <c r="A265" s="19" t="s">
        <v>450</v>
      </c>
      <c r="B265" s="19" t="s">
        <v>451</v>
      </c>
      <c r="C265" s="19" t="s">
        <v>1070</v>
      </c>
      <c r="D265" s="19"/>
      <c r="E265" s="34" t="s">
        <v>1071</v>
      </c>
    </row>
    <row r="266" customFormat="false" ht="15" hidden="false" customHeight="false" outlineLevel="0" collapsed="false">
      <c r="A266" s="19" t="s">
        <v>450</v>
      </c>
      <c r="B266" s="19" t="s">
        <v>451</v>
      </c>
      <c r="C266" s="19" t="s">
        <v>1072</v>
      </c>
      <c r="D266" s="19"/>
      <c r="E266" s="34" t="s">
        <v>1073</v>
      </c>
    </row>
    <row r="267" customFormat="false" ht="15" hidden="false" customHeight="false" outlineLevel="0" collapsed="false">
      <c r="A267" s="19" t="s">
        <v>450</v>
      </c>
      <c r="B267" s="19" t="s">
        <v>451</v>
      </c>
      <c r="C267" s="19" t="s">
        <v>1074</v>
      </c>
      <c r="D267" s="19"/>
      <c r="E267" s="34" t="s">
        <v>1075</v>
      </c>
    </row>
    <row r="268" customFormat="false" ht="15" hidden="false" customHeight="false" outlineLevel="0" collapsed="false">
      <c r="A268" s="19" t="s">
        <v>450</v>
      </c>
      <c r="B268" s="19" t="s">
        <v>451</v>
      </c>
      <c r="C268" s="19" t="s">
        <v>723</v>
      </c>
      <c r="D268" s="19" t="s">
        <v>713</v>
      </c>
      <c r="E268" s="34" t="s">
        <v>1076</v>
      </c>
    </row>
    <row r="269" customFormat="false" ht="15" hidden="false" customHeight="false" outlineLevel="0" collapsed="false">
      <c r="A269" s="19" t="s">
        <v>454</v>
      </c>
      <c r="B269" s="19" t="s">
        <v>455</v>
      </c>
      <c r="C269" s="19" t="s">
        <v>1077</v>
      </c>
      <c r="D269" s="19" t="s">
        <v>1078</v>
      </c>
      <c r="E269" s="34" t="s">
        <v>1079</v>
      </c>
    </row>
    <row r="270" customFormat="false" ht="15" hidden="false" customHeight="false" outlineLevel="0" collapsed="false">
      <c r="A270" s="19" t="s">
        <v>454</v>
      </c>
      <c r="B270" s="19" t="s">
        <v>455</v>
      </c>
      <c r="C270" s="19" t="s">
        <v>1080</v>
      </c>
      <c r="D270" s="19" t="s">
        <v>1081</v>
      </c>
      <c r="E270" s="34" t="s">
        <v>1082</v>
      </c>
    </row>
    <row r="271" customFormat="false" ht="15" hidden="false" customHeight="false" outlineLevel="0" collapsed="false">
      <c r="A271" s="19" t="s">
        <v>461</v>
      </c>
      <c r="B271" s="19" t="s">
        <v>462</v>
      </c>
      <c r="C271" s="19" t="s">
        <v>1083</v>
      </c>
      <c r="D271" s="19" t="s">
        <v>1084</v>
      </c>
      <c r="E271" s="34" t="s">
        <v>1085</v>
      </c>
    </row>
    <row r="272" customFormat="false" ht="15" hidden="false" customHeight="false" outlineLevel="0" collapsed="false">
      <c r="A272" s="19" t="s">
        <v>461</v>
      </c>
      <c r="B272" s="19" t="s">
        <v>462</v>
      </c>
      <c r="C272" s="19" t="s">
        <v>1086</v>
      </c>
      <c r="D272" s="19" t="s">
        <v>1087</v>
      </c>
      <c r="E272" s="34" t="s">
        <v>1088</v>
      </c>
    </row>
    <row r="273" customFormat="false" ht="15" hidden="false" customHeight="false" outlineLevel="0" collapsed="false">
      <c r="A273" s="19" t="s">
        <v>467</v>
      </c>
      <c r="B273" s="19" t="s">
        <v>468</v>
      </c>
      <c r="C273" s="19" t="s">
        <v>1089</v>
      </c>
      <c r="D273" s="19" t="s">
        <v>1090</v>
      </c>
      <c r="E273" s="34" t="s">
        <v>1091</v>
      </c>
    </row>
    <row r="274" customFormat="false" ht="15" hidden="false" customHeight="false" outlineLevel="0" collapsed="false">
      <c r="A274" s="19" t="s">
        <v>467</v>
      </c>
      <c r="B274" s="19" t="s">
        <v>468</v>
      </c>
      <c r="C274" s="19" t="s">
        <v>1092</v>
      </c>
      <c r="D274" s="19" t="s">
        <v>1093</v>
      </c>
      <c r="E274" s="34" t="s">
        <v>1094</v>
      </c>
    </row>
    <row r="275" customFormat="false" ht="15" hidden="false" customHeight="false" outlineLevel="0" collapsed="false">
      <c r="A275" s="19" t="s">
        <v>467</v>
      </c>
      <c r="B275" s="19" t="s">
        <v>468</v>
      </c>
      <c r="C275" s="19" t="s">
        <v>1095</v>
      </c>
      <c r="D275" s="19" t="s">
        <v>1096</v>
      </c>
      <c r="E275" s="34" t="s">
        <v>1097</v>
      </c>
    </row>
    <row r="276" customFormat="false" ht="15" hidden="false" customHeight="false" outlineLevel="0" collapsed="false">
      <c r="A276" s="19" t="s">
        <v>467</v>
      </c>
      <c r="B276" s="19" t="s">
        <v>468</v>
      </c>
      <c r="C276" s="19" t="s">
        <v>1098</v>
      </c>
      <c r="D276" s="19"/>
      <c r="E276" s="34" t="s">
        <v>1099</v>
      </c>
    </row>
    <row r="277" customFormat="false" ht="15" hidden="false" customHeight="false" outlineLevel="0" collapsed="false">
      <c r="A277" s="19" t="s">
        <v>471</v>
      </c>
      <c r="B277" s="19" t="s">
        <v>472</v>
      </c>
      <c r="C277" s="19" t="s">
        <v>715</v>
      </c>
      <c r="D277" s="19" t="s">
        <v>713</v>
      </c>
      <c r="E277" s="34" t="s">
        <v>716</v>
      </c>
    </row>
    <row r="278" customFormat="false" ht="15" hidden="false" customHeight="false" outlineLevel="0" collapsed="false">
      <c r="A278" s="19" t="s">
        <v>471</v>
      </c>
      <c r="B278" s="19" t="s">
        <v>472</v>
      </c>
      <c r="C278" s="19" t="s">
        <v>1100</v>
      </c>
      <c r="D278" s="19"/>
      <c r="E278" s="34" t="s">
        <v>1101</v>
      </c>
    </row>
    <row r="279" customFormat="false" ht="15" hidden="false" customHeight="false" outlineLevel="0" collapsed="false">
      <c r="A279" s="19" t="s">
        <v>471</v>
      </c>
      <c r="B279" s="19" t="s">
        <v>472</v>
      </c>
      <c r="C279" s="19" t="s">
        <v>723</v>
      </c>
      <c r="D279" s="19" t="s">
        <v>713</v>
      </c>
      <c r="E279" s="34" t="s">
        <v>1102</v>
      </c>
    </row>
    <row r="280" customFormat="false" ht="15" hidden="false" customHeight="false" outlineLevel="0" collapsed="false">
      <c r="A280" s="19" t="s">
        <v>475</v>
      </c>
      <c r="B280" s="19" t="s">
        <v>476</v>
      </c>
      <c r="C280" s="19" t="s">
        <v>1103</v>
      </c>
      <c r="D280" s="19"/>
      <c r="E280" s="34" t="s">
        <v>1104</v>
      </c>
    </row>
    <row r="281" customFormat="false" ht="15" hidden="false" customHeight="false" outlineLevel="0" collapsed="false">
      <c r="A281" s="19" t="s">
        <v>475</v>
      </c>
      <c r="B281" s="19" t="s">
        <v>476</v>
      </c>
      <c r="C281" s="19" t="s">
        <v>1105</v>
      </c>
      <c r="D281" s="19"/>
      <c r="E281" s="34" t="s">
        <v>1106</v>
      </c>
    </row>
    <row r="282" customFormat="false" ht="15" hidden="false" customHeight="false" outlineLevel="0" collapsed="false">
      <c r="A282" s="19" t="s">
        <v>475</v>
      </c>
      <c r="B282" s="19" t="s">
        <v>476</v>
      </c>
      <c r="C282" s="19" t="s">
        <v>1107</v>
      </c>
      <c r="D282" s="19"/>
      <c r="E282" s="34" t="s">
        <v>1108</v>
      </c>
    </row>
    <row r="283" customFormat="false" ht="15" hidden="false" customHeight="false" outlineLevel="0" collapsed="false">
      <c r="A283" s="19" t="s">
        <v>475</v>
      </c>
      <c r="B283" s="19" t="s">
        <v>476</v>
      </c>
      <c r="C283" s="19" t="s">
        <v>723</v>
      </c>
      <c r="D283" s="19" t="s">
        <v>713</v>
      </c>
      <c r="E283" s="34" t="s">
        <v>1109</v>
      </c>
    </row>
    <row r="284" customFormat="false" ht="15" hidden="false" customHeight="false" outlineLevel="0" collapsed="false">
      <c r="A284" s="19" t="s">
        <v>478</v>
      </c>
      <c r="B284" s="19" t="s">
        <v>479</v>
      </c>
      <c r="C284" s="19" t="s">
        <v>1110</v>
      </c>
      <c r="D284" s="19"/>
      <c r="E284" s="34" t="s">
        <v>1111</v>
      </c>
    </row>
    <row r="285" customFormat="false" ht="15" hidden="false" customHeight="false" outlineLevel="0" collapsed="false">
      <c r="A285" s="19" t="s">
        <v>478</v>
      </c>
      <c r="B285" s="19" t="s">
        <v>479</v>
      </c>
      <c r="C285" s="19" t="s">
        <v>1112</v>
      </c>
      <c r="D285" s="19"/>
      <c r="E285" s="34" t="s">
        <v>1113</v>
      </c>
    </row>
    <row r="286" customFormat="false" ht="15" hidden="false" customHeight="false" outlineLevel="0" collapsed="false">
      <c r="A286" s="19" t="s">
        <v>478</v>
      </c>
      <c r="B286" s="19" t="s">
        <v>479</v>
      </c>
      <c r="C286" s="19" t="s">
        <v>723</v>
      </c>
      <c r="D286" s="19" t="s">
        <v>713</v>
      </c>
      <c r="E286" s="34" t="s">
        <v>1114</v>
      </c>
    </row>
    <row r="287" customFormat="false" ht="15" hidden="false" customHeight="false" outlineLevel="0" collapsed="false">
      <c r="A287" s="19" t="s">
        <v>481</v>
      </c>
      <c r="B287" s="19" t="s">
        <v>482</v>
      </c>
      <c r="C287" s="19" t="s">
        <v>925</v>
      </c>
      <c r="D287" s="19" t="s">
        <v>926</v>
      </c>
      <c r="E287" s="34" t="s">
        <v>927</v>
      </c>
    </row>
    <row r="288" customFormat="false" ht="15" hidden="false" customHeight="false" outlineLevel="0" collapsed="false">
      <c r="A288" s="19" t="s">
        <v>481</v>
      </c>
      <c r="B288" s="19" t="s">
        <v>482</v>
      </c>
      <c r="C288" s="19" t="s">
        <v>928</v>
      </c>
      <c r="D288" s="19" t="s">
        <v>929</v>
      </c>
      <c r="E288" s="34" t="s">
        <v>930</v>
      </c>
    </row>
    <row r="289" customFormat="false" ht="15" hidden="false" customHeight="false" outlineLevel="0" collapsed="false">
      <c r="A289" s="19" t="s">
        <v>481</v>
      </c>
      <c r="B289" s="19" t="s">
        <v>482</v>
      </c>
      <c r="C289" s="19" t="s">
        <v>712</v>
      </c>
      <c r="D289" s="19" t="s">
        <v>713</v>
      </c>
      <c r="E289" s="34" t="s">
        <v>714</v>
      </c>
    </row>
    <row r="290" customFormat="false" ht="15" hidden="false" customHeight="false" outlineLevel="0" collapsed="false">
      <c r="A290" s="19" t="s">
        <v>483</v>
      </c>
      <c r="B290" s="19" t="s">
        <v>484</v>
      </c>
      <c r="C290" s="19" t="s">
        <v>1115</v>
      </c>
      <c r="D290" s="19"/>
      <c r="E290" s="34" t="s">
        <v>1116</v>
      </c>
    </row>
    <row r="291" customFormat="false" ht="15" hidden="false" customHeight="false" outlineLevel="0" collapsed="false">
      <c r="A291" s="19" t="s">
        <v>483</v>
      </c>
      <c r="B291" s="19" t="s">
        <v>484</v>
      </c>
      <c r="C291" s="19" t="s">
        <v>1117</v>
      </c>
      <c r="D291" s="19"/>
      <c r="E291" s="34" t="s">
        <v>1118</v>
      </c>
    </row>
    <row r="292" customFormat="false" ht="15" hidden="false" customHeight="false" outlineLevel="0" collapsed="false">
      <c r="A292" s="19" t="s">
        <v>483</v>
      </c>
      <c r="B292" s="19" t="s">
        <v>484</v>
      </c>
      <c r="C292" s="19" t="s">
        <v>723</v>
      </c>
      <c r="D292" s="19" t="s">
        <v>713</v>
      </c>
      <c r="E292" s="34" t="s">
        <v>1119</v>
      </c>
    </row>
    <row r="293" customFormat="false" ht="15" hidden="false" customHeight="false" outlineLevel="0" collapsed="false">
      <c r="A293" s="19" t="s">
        <v>486</v>
      </c>
      <c r="B293" s="19" t="s">
        <v>487</v>
      </c>
      <c r="C293" s="19" t="s">
        <v>1120</v>
      </c>
      <c r="D293" s="19" t="s">
        <v>1121</v>
      </c>
      <c r="E293" s="34" t="s">
        <v>1122</v>
      </c>
    </row>
    <row r="294" customFormat="false" ht="15" hidden="false" customHeight="false" outlineLevel="0" collapsed="false">
      <c r="A294" s="19" t="s">
        <v>486</v>
      </c>
      <c r="B294" s="19" t="s">
        <v>487</v>
      </c>
      <c r="C294" s="19" t="s">
        <v>1123</v>
      </c>
      <c r="D294" s="19"/>
      <c r="E294" s="34" t="s">
        <v>1124</v>
      </c>
    </row>
    <row r="295" customFormat="false" ht="15" hidden="false" customHeight="false" outlineLevel="0" collapsed="false">
      <c r="A295" s="19" t="s">
        <v>486</v>
      </c>
      <c r="B295" s="19" t="s">
        <v>487</v>
      </c>
      <c r="C295" s="19" t="s">
        <v>723</v>
      </c>
      <c r="D295" s="19" t="s">
        <v>713</v>
      </c>
      <c r="E295" s="34" t="s">
        <v>1125</v>
      </c>
    </row>
    <row r="296" customFormat="false" ht="15" hidden="false" customHeight="false" outlineLevel="0" collapsed="false">
      <c r="A296" s="19" t="s">
        <v>489</v>
      </c>
      <c r="B296" s="19" t="s">
        <v>490</v>
      </c>
      <c r="C296" s="19" t="s">
        <v>1126</v>
      </c>
      <c r="D296" s="19"/>
      <c r="E296" s="34" t="s">
        <v>1127</v>
      </c>
    </row>
    <row r="297" customFormat="false" ht="15" hidden="false" customHeight="false" outlineLevel="0" collapsed="false">
      <c r="A297" s="19" t="s">
        <v>489</v>
      </c>
      <c r="B297" s="19" t="s">
        <v>490</v>
      </c>
      <c r="C297" s="19" t="s">
        <v>723</v>
      </c>
      <c r="D297" s="19" t="s">
        <v>713</v>
      </c>
      <c r="E297" s="34" t="s">
        <v>1128</v>
      </c>
    </row>
    <row r="298" customFormat="false" ht="15" hidden="false" customHeight="false" outlineLevel="0" collapsed="false">
      <c r="A298" s="19" t="s">
        <v>491</v>
      </c>
      <c r="B298" s="19" t="s">
        <v>492</v>
      </c>
      <c r="C298" s="19" t="s">
        <v>715</v>
      </c>
      <c r="D298" s="19" t="s">
        <v>713</v>
      </c>
      <c r="E298" s="34" t="s">
        <v>716</v>
      </c>
    </row>
    <row r="299" customFormat="false" ht="15" hidden="false" customHeight="false" outlineLevel="0" collapsed="false">
      <c r="A299" s="19" t="s">
        <v>493</v>
      </c>
      <c r="B299" s="19" t="s">
        <v>494</v>
      </c>
      <c r="C299" s="19" t="s">
        <v>1129</v>
      </c>
      <c r="D299" s="19"/>
      <c r="E299" s="34" t="s">
        <v>1130</v>
      </c>
    </row>
    <row r="300" customFormat="false" ht="15" hidden="false" customHeight="false" outlineLevel="0" collapsed="false">
      <c r="A300" s="19" t="s">
        <v>493</v>
      </c>
      <c r="B300" s="19" t="s">
        <v>494</v>
      </c>
      <c r="C300" s="19" t="s">
        <v>723</v>
      </c>
      <c r="D300" s="19" t="s">
        <v>713</v>
      </c>
      <c r="E300" s="34" t="s">
        <v>1131</v>
      </c>
    </row>
    <row r="301" customFormat="false" ht="15" hidden="false" customHeight="false" outlineLevel="0" collapsed="false">
      <c r="A301" s="19" t="s">
        <v>496</v>
      </c>
      <c r="B301" s="19" t="s">
        <v>497</v>
      </c>
      <c r="C301" s="19" t="s">
        <v>1132</v>
      </c>
      <c r="D301" s="19" t="s">
        <v>1133</v>
      </c>
      <c r="E301" s="34" t="s">
        <v>1134</v>
      </c>
    </row>
    <row r="302" customFormat="false" ht="15" hidden="false" customHeight="false" outlineLevel="0" collapsed="false">
      <c r="A302" s="19" t="s">
        <v>499</v>
      </c>
      <c r="B302" s="19" t="s">
        <v>500</v>
      </c>
      <c r="C302" s="19" t="s">
        <v>1135</v>
      </c>
      <c r="D302" s="19" t="s">
        <v>1136</v>
      </c>
      <c r="E302" s="34" t="s">
        <v>1137</v>
      </c>
    </row>
    <row r="303" customFormat="false" ht="15" hidden="false" customHeight="false" outlineLevel="0" collapsed="false">
      <c r="A303" s="19" t="s">
        <v>499</v>
      </c>
      <c r="B303" s="19" t="s">
        <v>500</v>
      </c>
      <c r="C303" s="19" t="s">
        <v>1138</v>
      </c>
      <c r="D303" s="19" t="s">
        <v>1139</v>
      </c>
      <c r="E303" s="34" t="s">
        <v>1140</v>
      </c>
    </row>
    <row r="304" customFormat="false" ht="15" hidden="false" customHeight="false" outlineLevel="0" collapsed="false">
      <c r="A304" s="19" t="s">
        <v>499</v>
      </c>
      <c r="B304" s="19" t="s">
        <v>500</v>
      </c>
      <c r="C304" s="19" t="s">
        <v>1141</v>
      </c>
      <c r="D304" s="19" t="s">
        <v>1142</v>
      </c>
      <c r="E304" s="34" t="s">
        <v>1143</v>
      </c>
    </row>
    <row r="305" customFormat="false" ht="15" hidden="false" customHeight="false" outlineLevel="0" collapsed="false">
      <c r="A305" s="19" t="s">
        <v>499</v>
      </c>
      <c r="B305" s="19" t="s">
        <v>500</v>
      </c>
      <c r="C305" s="19" t="s">
        <v>1144</v>
      </c>
      <c r="D305" s="19" t="s">
        <v>713</v>
      </c>
      <c r="E305" s="34" t="s">
        <v>1145</v>
      </c>
    </row>
    <row r="306" customFormat="false" ht="15" hidden="false" customHeight="false" outlineLevel="0" collapsed="false">
      <c r="A306" s="19" t="s">
        <v>502</v>
      </c>
      <c r="B306" s="19" t="s">
        <v>503</v>
      </c>
      <c r="C306" s="19" t="s">
        <v>1146</v>
      </c>
      <c r="D306" s="19"/>
      <c r="E306" s="34" t="s">
        <v>1147</v>
      </c>
    </row>
    <row r="307" customFormat="false" ht="15" hidden="false" customHeight="false" outlineLevel="0" collapsed="false">
      <c r="A307" s="19" t="s">
        <v>502</v>
      </c>
      <c r="B307" s="19" t="s">
        <v>503</v>
      </c>
      <c r="C307" s="19" t="s">
        <v>1148</v>
      </c>
      <c r="D307" s="19"/>
      <c r="E307" s="34" t="s">
        <v>1149</v>
      </c>
    </row>
    <row r="308" customFormat="false" ht="15" hidden="false" customHeight="false" outlineLevel="0" collapsed="false">
      <c r="A308" s="19" t="s">
        <v>502</v>
      </c>
      <c r="B308" s="19" t="s">
        <v>503</v>
      </c>
      <c r="C308" s="19" t="s">
        <v>723</v>
      </c>
      <c r="D308" s="19" t="s">
        <v>713</v>
      </c>
      <c r="E308" s="34" t="s">
        <v>1150</v>
      </c>
    </row>
    <row r="309" customFormat="false" ht="15" hidden="false" customHeight="false" outlineLevel="0" collapsed="false">
      <c r="A309" s="19" t="s">
        <v>505</v>
      </c>
      <c r="B309" s="19" t="s">
        <v>506</v>
      </c>
      <c r="C309" s="19" t="s">
        <v>1151</v>
      </c>
      <c r="D309" s="19"/>
      <c r="E309" s="34" t="s">
        <v>1152</v>
      </c>
    </row>
    <row r="310" customFormat="false" ht="15" hidden="false" customHeight="false" outlineLevel="0" collapsed="false">
      <c r="A310" s="19" t="s">
        <v>507</v>
      </c>
      <c r="B310" s="19" t="s">
        <v>508</v>
      </c>
      <c r="C310" s="19" t="s">
        <v>1153</v>
      </c>
      <c r="D310" s="19"/>
      <c r="E310" s="34" t="s">
        <v>1154</v>
      </c>
    </row>
    <row r="311" customFormat="false" ht="15" hidden="false" customHeight="false" outlineLevel="0" collapsed="false">
      <c r="A311" s="19" t="s">
        <v>507</v>
      </c>
      <c r="B311" s="19" t="s">
        <v>508</v>
      </c>
      <c r="C311" s="19" t="s">
        <v>723</v>
      </c>
      <c r="D311" s="19" t="s">
        <v>713</v>
      </c>
      <c r="E311" s="34" t="s">
        <v>1155</v>
      </c>
    </row>
    <row r="312" customFormat="false" ht="15" hidden="false" customHeight="false" outlineLevel="0" collapsed="false">
      <c r="A312" s="19" t="s">
        <v>511</v>
      </c>
      <c r="B312" s="19" t="s">
        <v>512</v>
      </c>
      <c r="C312" s="19" t="s">
        <v>1156</v>
      </c>
      <c r="D312" s="19" t="s">
        <v>1157</v>
      </c>
      <c r="E312" s="34" t="s">
        <v>1158</v>
      </c>
    </row>
    <row r="313" customFormat="false" ht="15" hidden="false" customHeight="false" outlineLevel="0" collapsed="false">
      <c r="A313" s="19" t="s">
        <v>511</v>
      </c>
      <c r="B313" s="19" t="s">
        <v>512</v>
      </c>
      <c r="C313" s="19" t="s">
        <v>1159</v>
      </c>
      <c r="D313" s="19" t="s">
        <v>713</v>
      </c>
      <c r="E313" s="34" t="s">
        <v>1160</v>
      </c>
    </row>
    <row r="314" customFormat="false" ht="15" hidden="false" customHeight="false" outlineLevel="0" collapsed="false">
      <c r="A314" s="19" t="s">
        <v>511</v>
      </c>
      <c r="B314" s="19" t="s">
        <v>512</v>
      </c>
      <c r="C314" s="19" t="s">
        <v>1161</v>
      </c>
      <c r="D314" s="19"/>
      <c r="E314" s="34" t="s">
        <v>1162</v>
      </c>
    </row>
    <row r="315" customFormat="false" ht="15" hidden="false" customHeight="false" outlineLevel="0" collapsed="false">
      <c r="A315" s="19" t="s">
        <v>511</v>
      </c>
      <c r="B315" s="19" t="s">
        <v>512</v>
      </c>
      <c r="C315" s="19" t="s">
        <v>723</v>
      </c>
      <c r="D315" s="19" t="s">
        <v>713</v>
      </c>
      <c r="E315" s="34" t="s">
        <v>1163</v>
      </c>
    </row>
    <row r="316" customFormat="false" ht="15" hidden="false" customHeight="false" outlineLevel="0" collapsed="false">
      <c r="A316" s="19" t="s">
        <v>514</v>
      </c>
      <c r="B316" s="19" t="s">
        <v>515</v>
      </c>
      <c r="C316" s="19" t="s">
        <v>1164</v>
      </c>
      <c r="D316" s="19" t="s">
        <v>1165</v>
      </c>
      <c r="E316" s="34" t="s">
        <v>1166</v>
      </c>
    </row>
    <row r="317" customFormat="false" ht="15" hidden="false" customHeight="false" outlineLevel="0" collapsed="false">
      <c r="A317" s="19" t="s">
        <v>514</v>
      </c>
      <c r="B317" s="19" t="s">
        <v>515</v>
      </c>
      <c r="C317" s="19" t="s">
        <v>1167</v>
      </c>
      <c r="D317" s="19" t="s">
        <v>1168</v>
      </c>
      <c r="E317" s="34" t="s">
        <v>1169</v>
      </c>
    </row>
    <row r="318" customFormat="false" ht="15" hidden="false" customHeight="false" outlineLevel="0" collapsed="false">
      <c r="A318" s="19" t="s">
        <v>518</v>
      </c>
      <c r="B318" s="19" t="s">
        <v>519</v>
      </c>
      <c r="C318" s="19" t="s">
        <v>1170</v>
      </c>
      <c r="D318" s="19" t="s">
        <v>1171</v>
      </c>
      <c r="E318" s="34" t="s">
        <v>1172</v>
      </c>
    </row>
    <row r="319" customFormat="false" ht="15" hidden="false" customHeight="false" outlineLevel="0" collapsed="false">
      <c r="A319" s="19" t="s">
        <v>518</v>
      </c>
      <c r="B319" s="19" t="s">
        <v>519</v>
      </c>
      <c r="C319" s="19" t="s">
        <v>1173</v>
      </c>
      <c r="D319" s="19" t="s">
        <v>1078</v>
      </c>
      <c r="E319" s="34" t="s">
        <v>1174</v>
      </c>
    </row>
    <row r="320" customFormat="false" ht="15" hidden="false" customHeight="false" outlineLevel="0" collapsed="false">
      <c r="A320" s="19" t="s">
        <v>518</v>
      </c>
      <c r="B320" s="19" t="s">
        <v>519</v>
      </c>
      <c r="C320" s="19" t="s">
        <v>1175</v>
      </c>
      <c r="D320" s="19" t="s">
        <v>1078</v>
      </c>
      <c r="E320" s="34" t="s">
        <v>1176</v>
      </c>
    </row>
    <row r="321" customFormat="false" ht="15" hidden="false" customHeight="false" outlineLevel="0" collapsed="false">
      <c r="A321" s="19" t="s">
        <v>521</v>
      </c>
      <c r="B321" s="19" t="s">
        <v>522</v>
      </c>
      <c r="C321" s="19" t="s">
        <v>1177</v>
      </c>
      <c r="D321" s="19" t="s">
        <v>1178</v>
      </c>
      <c r="E321" s="34" t="s">
        <v>1179</v>
      </c>
    </row>
    <row r="322" customFormat="false" ht="15" hidden="false" customHeight="false" outlineLevel="0" collapsed="false">
      <c r="A322" s="19" t="s">
        <v>521</v>
      </c>
      <c r="B322" s="19" t="s">
        <v>522</v>
      </c>
      <c r="C322" s="19" t="s">
        <v>1180</v>
      </c>
      <c r="D322" s="19" t="s">
        <v>1181</v>
      </c>
      <c r="E322" s="34" t="s">
        <v>1182</v>
      </c>
    </row>
    <row r="323" customFormat="false" ht="15" hidden="false" customHeight="false" outlineLevel="0" collapsed="false">
      <c r="A323" s="19" t="s">
        <v>521</v>
      </c>
      <c r="B323" s="19" t="s">
        <v>522</v>
      </c>
      <c r="C323" s="19" t="s">
        <v>1183</v>
      </c>
      <c r="D323" s="19"/>
      <c r="E323" s="34" t="s">
        <v>1184</v>
      </c>
    </row>
    <row r="324" customFormat="false" ht="15" hidden="false" customHeight="false" outlineLevel="0" collapsed="false">
      <c r="A324" s="19" t="s">
        <v>521</v>
      </c>
      <c r="B324" s="19" t="s">
        <v>522</v>
      </c>
      <c r="C324" s="19" t="s">
        <v>1185</v>
      </c>
      <c r="D324" s="19"/>
      <c r="E324" s="34" t="s">
        <v>1186</v>
      </c>
    </row>
    <row r="325" customFormat="false" ht="15" hidden="false" customHeight="false" outlineLevel="0" collapsed="false">
      <c r="A325" s="19" t="s">
        <v>521</v>
      </c>
      <c r="B325" s="19" t="s">
        <v>522</v>
      </c>
      <c r="C325" s="19" t="s">
        <v>1187</v>
      </c>
      <c r="D325" s="19"/>
      <c r="E325" s="34" t="s">
        <v>1188</v>
      </c>
    </row>
    <row r="326" customFormat="false" ht="15" hidden="false" customHeight="false" outlineLevel="0" collapsed="false">
      <c r="A326" s="19" t="s">
        <v>521</v>
      </c>
      <c r="B326" s="19" t="s">
        <v>522</v>
      </c>
      <c r="C326" s="19" t="s">
        <v>1189</v>
      </c>
      <c r="D326" s="19"/>
      <c r="E326" s="34" t="s">
        <v>1190</v>
      </c>
    </row>
    <row r="327" customFormat="false" ht="15" hidden="false" customHeight="false" outlineLevel="0" collapsed="false">
      <c r="A327" s="19" t="s">
        <v>521</v>
      </c>
      <c r="B327" s="19" t="s">
        <v>522</v>
      </c>
      <c r="C327" s="19" t="s">
        <v>1191</v>
      </c>
      <c r="D327" s="19"/>
      <c r="E327" s="34" t="s">
        <v>1192</v>
      </c>
    </row>
    <row r="328" customFormat="false" ht="15" hidden="false" customHeight="false" outlineLevel="0" collapsed="false">
      <c r="A328" s="19" t="s">
        <v>521</v>
      </c>
      <c r="B328" s="19" t="s">
        <v>522</v>
      </c>
      <c r="C328" s="19" t="s">
        <v>1193</v>
      </c>
      <c r="D328" s="19"/>
      <c r="E328" s="34" t="s">
        <v>1179</v>
      </c>
    </row>
    <row r="329" customFormat="false" ht="15" hidden="false" customHeight="false" outlineLevel="0" collapsed="false">
      <c r="A329" s="19" t="s">
        <v>521</v>
      </c>
      <c r="B329" s="19" t="s">
        <v>522</v>
      </c>
      <c r="C329" s="19" t="s">
        <v>1194</v>
      </c>
      <c r="D329" s="19"/>
      <c r="E329" s="34" t="s">
        <v>1195</v>
      </c>
    </row>
    <row r="330" customFormat="false" ht="15" hidden="false" customHeight="false" outlineLevel="0" collapsed="false">
      <c r="A330" s="19" t="s">
        <v>521</v>
      </c>
      <c r="B330" s="19" t="s">
        <v>522</v>
      </c>
      <c r="C330" s="19" t="s">
        <v>723</v>
      </c>
      <c r="D330" s="19" t="s">
        <v>713</v>
      </c>
      <c r="E330" s="34" t="s">
        <v>1196</v>
      </c>
    </row>
    <row r="331" customFormat="false" ht="15" hidden="false" customHeight="false" outlineLevel="0" collapsed="false">
      <c r="A331" s="19" t="s">
        <v>524</v>
      </c>
      <c r="B331" s="19" t="s">
        <v>525</v>
      </c>
      <c r="C331" s="19" t="s">
        <v>1197</v>
      </c>
      <c r="D331" s="19" t="s">
        <v>1198</v>
      </c>
      <c r="E331" s="34" t="s">
        <v>1199</v>
      </c>
    </row>
    <row r="332" customFormat="false" ht="15" hidden="false" customHeight="false" outlineLevel="0" collapsed="false">
      <c r="A332" s="19" t="s">
        <v>524</v>
      </c>
      <c r="B332" s="19" t="s">
        <v>525</v>
      </c>
      <c r="C332" s="19" t="s">
        <v>1200</v>
      </c>
      <c r="D332" s="19"/>
      <c r="E332" s="34" t="s">
        <v>1201</v>
      </c>
    </row>
  </sheetData>
  <hyperlinks>
    <hyperlink ref="E2" r:id="rId1" display="https://arizonaai.com/data-centers"/>
    <hyperlink ref="E3" r:id="rId2" display="https://www.datacentermap.com/usa/arizona/phoenix/"/>
    <hyperlink ref="E4" r:id="rId3" display="https://edgecore.com/edgecore-digital-infrastructure-announces-expansion-of-its-metro-phoenix-data-center-market-to-over-450-mw/"/>
    <hyperlink ref="E5" r:id="rId4" display="https://www.datacenterdynamics.com/en/news/edgecore-expands-mesa-data-center-campus-in-arizona/"/>
    <hyperlink ref="E6" r:id="rId5" display="https://azbigmedia.com/real-estate/edgecore-expands-mesa-data-center-campus-to-over-450-mw/"/>
    <hyperlink ref="E7" r:id="rId6" display="https://www.compute-atlas.com/facilities/edgecore-mesa-az"/>
    <hyperlink ref="E8" r:id="rId7" display="https://www.compassdatacenters.com/news/compass-datacenters-begins-construction-of-first-two-data-centers-on-phoenix-campus/"/>
    <hyperlink ref="E9" r:id="rId8" display="https://azbigmedia.com/business/economic-development/compass-datacenters-will-build-225-acre-goodyear-campus/"/>
    <hyperlink ref="E10" r:id="rId9" display="https://www.compute-atlas.com/facilities/compass-goodyear-campus-az"/>
    <hyperlink ref="E11" r:id="rId10" display="https://www.goodyearaz.gov/Home/Components/News/News/9849"/>
    <hyperlink ref="E12" r:id="rId11" display="https://azbigmedia.com/business/economic-development/microsoft-will-build-3-data-centers-in-the-west-valley/"/>
    <hyperlink ref="E13" r:id="rId12" display="https://www.datacenterdynamics.com/en/news/microsoft-purchases-100-acres-next-to-existing-data-center-campus-in-goodyear-arizona/"/>
    <hyperlink ref="E14" r:id="rId13" display="https://www.goodyearaz.gov/Home/Components/News/News/9847/1127?arch=1"/>
    <hyperlink ref="E15" r:id="rId14" display="https://azbex.com/local-news/microsoft-goodyear-update-development-agreement/"/>
    <hyperlink ref="E16" r:id="rId15" display="https://local.microsoft.com/communities/americas/greater-phoenix/"/>
    <hyperlink ref="E17" r:id="rId16" display="https://www.compute-atlas.com/facilities/microsoft-goodyear-az"/>
    <hyperlink ref="E18" r:id="rId17" display="https://www.streamdatacenters.com/locations/phoenix/"/>
    <hyperlink ref="E19" r:id="rId18" display="https://www.streamdatacenters.com/news/booming-in-the-desert-stream-commissions-new-phoenix-data-center/"/>
    <hyperlink ref="E20" r:id="rId19" display="https://www.datacenterdynamics.com/en/news/stream-data-centers-opens-phoenix-i-facility-goodyear-arizona/"/>
    <hyperlink ref="E21" r:id="rId20" display="https://www.streamdatacenters.com/wp-content/uploads/2026/01/SDC-Goodyear-CaseStudy-251218.pdf"/>
    <hyperlink ref="E22" r:id="rId21" display="https://www.compute-atlas.com/facilities/stream-data-centers-phxa-phoenix-i-vii-goodyear-campus-az"/>
    <hyperlink ref="E23" r:id="rId22" display="https://services.global.ntt/en-us/services-and-products/global-data-centers/global-locations/americas/phoenix-ph1-data-center"/>
    <hyperlink ref="E24" r:id="rId23" display="https://www.aztechcouncil.org/8-metro-phoenix-data-center-developments-to-watch/"/>
    <hyperlink ref="E25" r:id="rId24" display="https://www.compute-atlas.com/facilities/ntt-phoenix-ph1-data-center-az"/>
    <hyperlink ref="E26" r:id="rId25" display="https://baxtel.com/data-center/phoenix"/>
    <hyperlink ref="E27" r:id="rId26" display="https://www.datacentermap.com/usa/arizona/phoenix/"/>
    <hyperlink ref="E28" r:id="rId27" display="https://www.stackinfra.com/locations/americas/phoenix/"/>
    <hyperlink ref="E29" r:id="rId28" display="https://www.compute-atlas.com/facilities/stack-phx01-avondale-az"/>
    <hyperlink ref="E30" r:id="rId29" display="https://www.datacentermap.com/usa/arizona/phoenix/"/>
    <hyperlink ref="E31" r:id="rId30" display="https://q.com/data-centers/phoenix-2/"/>
    <hyperlink ref="E32" r:id="rId31" display="https://www.compute-atlas.com/facilities/qts-phoenix-2-az"/>
    <hyperlink ref="E33" r:id="rId32" display="https://baxtel.com/data-center/phoenix"/>
    <hyperlink ref="E34" r:id="rId33" display="https://arizonaai.com/data-centers"/>
    <hyperlink ref="E35" r:id="rId34" display="https://aligneddc.com/phoenix/"/>
    <hyperlink ref="E36" r:id="rId35" display="https://www.datacenterdynamics.com/en/news/phoenix-data-center-will-have-63mw-on-site-generation/"/>
    <hyperlink ref="E37" r:id="rId36" display="https://aligneddc.com/power-reliability-is-a-big-driver-for-aligned-data-centers-in-phoenix/"/>
    <hyperlink ref="E38" r:id="rId37" display="https://www.compute-atlas.com/facilities/aligned-phx-01-02-03-az"/>
    <hyperlink ref="E39" r:id="rId38" display="https://baxtel.com/data-center/phoenix"/>
    <hyperlink ref="E40" r:id="rId39" display="https://arizonaai.com/data-centers"/>
    <hyperlink ref="E41" r:id="rId40" display="https://vantage-dc.com/data-center-locations/north-america/phoenix-arizona/"/>
    <hyperlink ref="E42" r:id="rId41" display="https://www.compute-atlas.com/facilities/vantage-phoenix-campus-goodyear-az-az"/>
    <hyperlink ref="E43" r:id="rId42" display="https://www.cyrusone.com/data-centers/north-america/chandler-arizona"/>
    <hyperlink ref="E44" r:id="rId43" display="https://www.compute-atlas.com/facilities/cyrusone-chandler-phx1-phx8-az"/>
    <hyperlink ref="E45" r:id="rId44" display="https://mesanow.org/news/public/article/2149"/>
    <hyperlink ref="E46" r:id="rId45" display="https://www.datacenterknowledge.com/business/step-inside-apple-s-data-center-in-arizona-courtesy-of-the-arizona-republic"/>
    <hyperlink ref="E47" r:id="rId46" display="https://www.aztechcouncil.org/tech_magazine/apple-plants-crowning-achievement-for-renewable-energy-in-mesa/"/>
    <hyperlink ref="E48" r:id="rId47" display="https://qz.com/337842/apple-is-building-a-solar-powered-data-command-center-in-arizona"/>
    <hyperlink ref="E49" r:id="rId48" display="https://www.federalregister.gov/documents/full_text/text/2014/01/23/2014-01296.txt"/>
    <hyperlink ref="E50" r:id="rId49" display="https://www.cultofmac.com/news/apple-data-center-mesa-arizona-details"/>
    <hyperlink ref="E51" r:id="rId50" display="https://www.federalregister.gov/documents/full_text/text/2014/03/27/2014-06841.txt"/>
    <hyperlink ref="E52" r:id="rId51" display="https://www.compute-atlas.com/facilities/apple-mesa-az"/>
    <hyperlink ref="E53" r:id="rId52" display="https://www.datacenterdynamics.com/en/news/google-breaks-ground-on-mesa-data-center-campus-in-arizona/"/>
    <hyperlink ref="E54" r:id="rId53" display="https://azbex.com/planning-development/google-planning-next-phase-of-mesa-data-center-facility/"/>
    <hyperlink ref="E55" r:id="rId54" display="https://www.datacenterdynamics.com/en/news/mesa-council-approves-1bn-google-arizona-data-center-16m-tax-breaks/"/>
    <hyperlink ref="E56" r:id="rId55" display="https://mesa.legistar.com/View.ashx?M=F&amp;ID=7431552&amp;GUID=F48E7DF7-C483-4237-8F54-83D08F5E1935"/>
    <hyperlink ref="E57" r:id="rId56" display="https://mesa.legistar.com/View.ashx?M=F&amp;ID=7431554&amp;GUID=560CC2A3-8A23-4144-8CCB-CB9D273698B2"/>
    <hyperlink ref="E58" r:id="rId57" display="https://legistar1.granicus.com/Mesa/attachments/eb9e229a-330d-417b-bf35-95ed173402fc.doc"/>
    <hyperlink ref="E59" r:id="rId58" display="https://legistar1.granicus.com/Mesa/attachments/e2e1b966-a066-4ba7-b9a6-ec11167a332d.pdf"/>
    <hyperlink ref="E60" r:id="rId59" display="https://www.compute-atlas.com/facilities/google-redhawk-mesa-az"/>
    <hyperlink ref="E61" r:id="rId60" display="https://azbex.com/planning-development/2-new-data-centers-coming-to-chandler/"/>
    <hyperlink ref="E62" r:id="rId61" display="https://www.datacentermap.com/usa/arizona/phoenix/aligned-phx04/"/>
    <hyperlink ref="E63" r:id="rId62" display="https://datacenterhawk.com/marketplace/providers/aligned-data-centers/2955-w-innovation-street/phx-06"/>
    <hyperlink ref="E64" r:id="rId63" display="https://baxtel.com/data-center/phoenix"/>
    <hyperlink ref="E65" r:id="rId64" display="https://arizonaai.com/data-centers"/>
    <hyperlink ref="E66" r:id="rId65" display="https://baxtel.com/data-center/iron-mountain-azp3"/>
    <hyperlink ref="E67" r:id="rId66" display="https://www.aztechcouncil.org/8-metro-phoenix-data-center-developments-to-watch/"/>
    <hyperlink ref="E68" r:id="rId67" display="https://www.ironmountain.com/data-centers/locations/phoenix-data-center"/>
    <hyperlink ref="E69" r:id="rId68" display="https://www.compute-atlas.com/facilities/iron-mountain-azp-1-az"/>
    <hyperlink ref="E70" r:id="rId69" display="https://datacenters.atmeta.com/2025/01/mesa-we-are-online/"/>
    <hyperlink ref="E71" r:id="rId70" display="https://baxtel.com/data-center/meta-mesa-az-campus"/>
    <hyperlink ref="E72" r:id="rId71" display="https://media.srpnet.com/meta-teams-up-with-srp-and-rsted-to-support-data-center-with-clean-energy-from-new-solar-and-battery--project/"/>
    <hyperlink ref="E73" r:id="rId72" display="https://datacenters.atmeta.com/asset/mesa-data-center-info-sheet/"/>
    <hyperlink ref="E74" r:id="rId73" display="https://www.aztechcouncil.org/meta-expands-plans-for-proposed-large-scale-mesa-data-center/"/>
    <hyperlink ref="E75" r:id="rId74" display="https://legistar1.granicus.com/Mesa/attachments/7e390610-b558-426d-aa10-c7aa2825530d.doc"/>
    <hyperlink ref="E76" r:id="rId75" display="https://www.compute-atlas.com/facilities/meta-mesa-az"/>
    <hyperlink ref="E77" r:id="rId76" display="https://arizonaai.com/data-centers"/>
    <hyperlink ref="E78" r:id="rId77" display="https://baxtel.com/data-center/phoenix"/>
    <hyperlink ref="E79" r:id="rId78" display="https://www.digitalrealty.com/data-centers/americas/phoenix/phx15"/>
    <hyperlink ref="E80" r:id="rId79" display="https://www.compute-atlas.com/facilities/digital-realty-phx15-az"/>
    <hyperlink ref="E81" r:id="rId80" display="https://arizonaai.com/data-centers"/>
    <hyperlink ref="E82" r:id="rId81" display="https://www.datacentermap.com/usa/arizona/phoenix/"/>
    <hyperlink ref="E83" r:id="rId82" display="https://edged.us/news/edged-us-opens-waterless-ai-ready-data-center-in-the-heart-of-arizonas-silicon-desert-tech-corridor"/>
    <hyperlink ref="E84" r:id="rId83" display="https://www.compute-atlas.com/facilities/edged-mesa-az"/>
    <hyperlink ref="E85" r:id="rId84" display="https://www.digitalrealty.com/data-centers/americas/phoenix"/>
    <hyperlink ref="E86" r:id="rId85" display="https://www.compute-atlas.com/facilities/digital-realty-phx-tempe-az"/>
    <hyperlink ref="E87" r:id="rId86" display="https://www.datacentermap.com/usa/arizona/phoenix/"/>
    <hyperlink ref="E88" r:id="rId87" display="https://baxtel.com/data-center/phoenix"/>
    <hyperlink ref="E89" r:id="rId88" display="https://arizonaai.com/data-centers"/>
    <hyperlink ref="E90" r:id="rId89" display="https://azbex.com/planning-development/lpc-takes-over-frye-road-data-center-expansion/"/>
    <hyperlink ref="E91" r:id="rId90" display="https://www.datacentermap.com/usa/arizona/phoenix/"/>
    <hyperlink ref="E92" r:id="rId91" display="https://baxtel.com/data-center/phoenix"/>
    <hyperlink ref="E93" r:id="rId92" display="https://h5datacenters.com/phoenix-data-center.html"/>
    <hyperlink ref="E94" r:id="rId93" display="https://www.compute-atlas.com/facilities/h5-data-centers-chandler-az"/>
    <hyperlink ref="E95" r:id="rId94" display="https://www.csquare.com/data-centers/phoenix"/>
    <hyperlink ref="E96" r:id="rId95" display="https://www.compute-atlas.com/facilities/centersquare-phx3-az"/>
    <hyperlink ref="E97" r:id="rId96" display="https://www.csquare.com/data-centers/phoenix"/>
    <hyperlink ref="E98" r:id="rId97" display="https://www.datacentermap.com/usa/arizona/phoenix/"/>
    <hyperlink ref="E99" r:id="rId98" display="https://www.ironmountain.com/data-centers/locations/scottsdale-data-center"/>
    <hyperlink ref="E100" r:id="rId99" display="https://www.compute-atlas.com/facilities/iron-mountain-azs-1-az"/>
    <hyperlink ref="E101" r:id="rId100" display="https://www.flexential.com/data-centers/az/phoenix/deer-valley-data-center"/>
    <hyperlink ref="E102" r:id="rId101" display="https://www.compute-atlas.com/facilities/flexential-phoenix-deer-valley-az"/>
    <hyperlink ref="E103" r:id="rId102" display="https://www.datacentermap.com/usa/arizona/phoenix/"/>
    <hyperlink ref="E104" r:id="rId103" display="https://baxtel.com/data-center/phoenix"/>
    <hyperlink ref="E105" r:id="rId104" display="https://arizonaai.com/data-centers"/>
    <hyperlink ref="E106" r:id="rId105" display="https://www.datacenterdynamics.com/en/news/microsoft-files-to-expand-el-mirage-data-center-campus-in-arizona/"/>
    <hyperlink ref="E107" r:id="rId106" display="https://azbex.com/planning-development/microsoft-data-center-new-spec-industrial-planned-in-el-mirage/"/>
    <hyperlink ref="E108" r:id="rId107" display="https://www.aztechcouncil.org/microsoft-buys-land-el-mirage-data-center/"/>
    <hyperlink ref="E109" r:id="rId108" display="https://www.datacenterdynamics.com/en/news/microsoft-files-to-expand-el-mirage-data-center-campus-in-arizona/"/>
    <hyperlink ref="E110" r:id="rId109" display="https://local.microsoft.com/communities/americas/greater-phoenix/"/>
    <hyperlink ref="E111" r:id="rId110" display="https://www.compute-atlas.com/facilities/microsoft-el-mirage-az"/>
    <hyperlink ref="E112" r:id="rId111" display="https://azbex.com/planning-development/new-data-center-planned-in-south-phoenix/"/>
    <hyperlink ref="E113" r:id="rId112" display="https://www.radius-dc.com/insights-resources/phoenix-arizona"/>
    <hyperlink ref="E114" r:id="rId113" display="https://www.datacentermap.com/usa/arizona/phoenix/"/>
    <hyperlink ref="E115" r:id="rId114" display="https://www.datacentermap.com/usa/arizona/phoenix/"/>
    <hyperlink ref="E116" r:id="rId115" display="https://baxtel.com/data-center/phoenix"/>
    <hyperlink ref="E117" r:id="rId116" display="https://www.datacentermap.com/usa/arizona/phoenix/"/>
    <hyperlink ref="E118" r:id="rId117" display="https://www.datacenters.com/lumen-phoenix-1"/>
    <hyperlink ref="E119" r:id="rId118" display="https://www.compute-atlas.com/facilities/lumen-phoenix-1-az"/>
    <hyperlink ref="E120" r:id="rId119" display="https://www.datacentermap.com/usa/arizona/phoenix/"/>
    <hyperlink ref="E121" r:id="rId120" display="https://www.datacentermap.com/usa/arizona/phoenix/"/>
    <hyperlink ref="E122" r:id="rId121" display="https://www.datacentermap.com/usa/arizona/phoenix/"/>
    <hyperlink ref="E123" r:id="rId122" display="https://www.datacentermap.com/usa/arizona/phoenix/"/>
    <hyperlink ref="E124" r:id="rId123" display="https://www.datacentermap.com/usa/arizona/phoenix/"/>
    <hyperlink ref="E125" r:id="rId124" display="https://www.datacentermap.com/usa/arizona/phoenix/"/>
    <hyperlink ref="E126" r:id="rId125" display="https://www.datacentermap.com/usa/arizona/phoenix/"/>
    <hyperlink ref="E127" r:id="rId126" display="https://www.datacentermap.com/usa/arizona/phoenix/"/>
    <hyperlink ref="E128" r:id="rId127" display="https://www.datacentermap.com/usa/arizona/phoenix/"/>
    <hyperlink ref="E129" r:id="rId128" display="https://www.datacentermap.com/usa/arizona/phoenix/"/>
    <hyperlink ref="E130" r:id="rId129" display="https://www.datacentermap.com/usa/arizona/phoenix/"/>
    <hyperlink ref="E131" r:id="rId130" display="https://www.datacentermap.com/usa/arizona/phoenix/"/>
    <hyperlink ref="E132" r:id="rId131" display="https://www.datacentermap.com/usa/arizona/phoenix/"/>
    <hyperlink ref="E133" r:id="rId132" display="https://www.datacentermap.com/usa/arizona/phoenix/"/>
    <hyperlink ref="E134" r:id="rId133" display="https://www.datacentermap.com/usa/arizona/phoenix/"/>
    <hyperlink ref="E135" r:id="rId134" display="https://www.datacentermap.com/usa/arizona/phoenix/"/>
    <hyperlink ref="E136" r:id="rId135" display="https://www.datacentermap.com/usa/arizona/phoenix/"/>
    <hyperlink ref="E137" r:id="rId136" display="https://www.datacentermap.com/usa/arizona/phoenix/"/>
    <hyperlink ref="E138" r:id="rId137" display="https://www.datacentermap.com/usa/arizona/phoenix/"/>
    <hyperlink ref="E139" r:id="rId138" display="https://www.datacentermap.com/usa/arizona/phoenix/"/>
    <hyperlink ref="E140" r:id="rId139" display="https://baxtel.com/data-center/phoenix"/>
    <hyperlink ref="E141" r:id="rId140" display="https://baxtel.com/data-center/phoenix"/>
    <hyperlink ref="E142" r:id="rId141" display="https://baxtel.com/data-center/phoenix"/>
    <hyperlink ref="E143" r:id="rId142" display="https://baxtel.com/data-center/phoenix"/>
    <hyperlink ref="E144" r:id="rId143" display="https://arizonaai.com/data-centers"/>
    <hyperlink ref="E145" r:id="rId144" display="https://arizonaai.com/data-centers"/>
    <hyperlink ref="E146" r:id="rId145" display="https://arizonaai.com/data-centers"/>
    <hyperlink ref="E147" r:id="rId146" display="https://www.datacentermap.com/usa/arizona/tucson/"/>
    <hyperlink ref="E148" r:id="rId147" display="https://www.datacentermap.com/usa/arizona/tucson/"/>
    <hyperlink ref="E149" r:id="rId148" display="https://www.datacentermap.com/usa/arizona/tucson/"/>
    <hyperlink ref="E150" r:id="rId149" display="https://www.datacentermap.com/usa/arizona/tucson/"/>
    <hyperlink ref="E151" r:id="rId150" display="https://www.datacentermap.com/usa/arizona/tucson/"/>
    <hyperlink ref="E152" r:id="rId151" display="https://www.datacentermap.com/usa/arizona/tucson/"/>
    <hyperlink ref="E153" r:id="rId152" display="https://www.datacentermap.com/usa/arizona/tucson/"/>
    <hyperlink ref="E154" r:id="rId153" display="https://www.datacentermap.com/usa/arizona/tucson/"/>
    <hyperlink ref="E155" r:id="rId154" display="https://www.datacentermap.com/usa/arizona/tucson/"/>
    <hyperlink ref="E156" r:id="rId155" display="https://www.datacentermap.com/usa/arizona/phoenix/microsoft-goodyear-airpark-campus/"/>
    <hyperlink ref="E157" r:id="rId156" display="https://azbigmedia.com/business/economic-development/microsoft-will-build-3-data-centers-in-the-west-valley/"/>
    <hyperlink ref="E158" r:id="rId157" display="https://www.datacenterdynamics.com/en/news/beale-infrastructure-plans-second-data-center-campus-outside-tucson-arizona-and-two-outside-tulsa-oklahoma/"/>
    <hyperlink ref="E159" r:id="rId158" display="https://www.azfamily.com/2026/01/09/two-southern-arizona-data-centers-move-forward-so-do-fights-over-power-water-growth/"/>
    <hyperlink ref="E160" r:id="rId159" display="https://azluminaria.org/2025/10/01/pima-county-nda-confirms-amazon-is-behind-project-blue-data-center/"/>
    <hyperlink ref="E161" r:id="rId160" display="https://www.kold.com/2026/04/25/construction-begins-first-hyper-scale-data-center-pima-county/"/>
    <hyperlink ref="E162" r:id="rId161" display="https://www.kjzz.org/fronteras-desk/2026-04-27/as-project-blue-data-center-construction-starts-near-tucson-protesters-rally-outside"/>
    <hyperlink ref="E163" r:id="rId162" display="https://content.civicplus.com/api/assets/2192e865-fe7e-48f4-8a0c-7c1c8b5cd32c"/>
    <hyperlink ref="E164" r:id="rId163" display="https://www.pima.gov/3552/Project-Blue-FAQ"/>
    <hyperlink ref="E165" r:id="rId164" display="https://constructionreviewonline.com/construction-begins-on-project-blue-pima-countys-first-hyperscale-data-center/"/>
    <hyperlink ref="E166" r:id="rId165" display="https://www.compute-atlas.com/facilities/beale-project-blue-pima-county-az"/>
    <hyperlink ref="E167" r:id="rId166" display="https://www.novva.com/media-center/novva-data-centers-announces-new-campus-in-mesa/"/>
    <hyperlink ref="E168" r:id="rId167" display="https://www.datacenterdynamics.com/en/news/novva-confirmed-as-behind-project-borealis-data-center-campus-in-phoenix-arizona/"/>
    <hyperlink ref="E169" r:id="rId168" display="https://legistar1.granicus.com/Mesa/attachments/d6c1b1ca-28ad-400c-8d28-a59aca19080e.pdf"/>
    <hyperlink ref="E170" r:id="rId169" display="https://legistar1.granicus.com/Mesa/attachments/a49b6d5a-09db-4b36-845e-756af027c367.doc"/>
    <hyperlink ref="E171" r:id="rId170" display="https://www.prnewswire.com/news-releases/novva-data-centers-announces-new-campus-in-mesa-302227476.html"/>
    <hyperlink ref="E172" r:id="rId171" display="https://www.compute-atlas.com/facilities/novva-mesa-az"/>
    <hyperlink ref="E173" r:id="rId172" display="https://www.stackinfra.com/locations/americas/phoenix/phx02/"/>
    <hyperlink ref="E174" r:id="rId173" display="https://datacenterhawk.com/marketplace/providers/stack-infrastructure/800-n-40th-street/phx02-building-1"/>
    <hyperlink ref="E175" r:id="rId174" display="https://www.compute-atlas.com/facilities/stack-phx02-phoenix-az"/>
    <hyperlink ref="E176" r:id="rId175" display="https://primedatacenters.com/news/prime-data-centers-breaks-ground-on-three-buildings-at-its-240mw-phoenix-campus-advancing-3billion-dollar-investment-in-avondale/"/>
    <hyperlink ref="E177" r:id="rId176" display="https://primedatacenters.com/wp-content/uploads/2025/10/PDC_Phoenix_TechSheet_PHX01_04.pdf"/>
    <hyperlink ref="E178" r:id="rId177" display="https://www.compute-atlas.com/facilities/prime-avondale-az"/>
    <hyperlink ref="E179" r:id="rId178" display="https://menlo-digital.com/portfolio/md-phx1-phoenix/"/>
    <hyperlink ref="E180" r:id="rId179" display="https://www.datacentermap.com/usa/arizona/phoenix/menlo-digital-md-px1-campus/"/>
    <hyperlink ref="E181" r:id="rId180" display="https://arizonaai.com/data-centers"/>
    <hyperlink ref="E182" r:id="rId181" display="https://www.datacenterdynamics.com/en/news/edgeconnex-files-for-new-1-million-sq-ft-data-center-campus-in-mesa-arizona/"/>
    <hyperlink ref="E183" r:id="rId182" display="https://www.compute-atlas.com/facilities/edgeconnex-mesa-campus-phx11-3302-s-hawes-rd-az"/>
    <hyperlink ref="E184" r:id="rId183" display="https://www.datacenterdynamics.com/en/news/aws-plots-four-data-centers-in-mesa-arizona/"/>
    <hyperlink ref="E185" r:id="rId184" display="https://www.aztechcouncil.org/amazon-submits-plans-for-multiple-data-centers-in-mesa/"/>
    <hyperlink ref="E186" r:id="rId185" display="https://www.datacentermap.com/usa/arizona/phoenix/amazon-aws-phx-9848-e-pecos-road/"/>
    <hyperlink ref="E187" r:id="rId186" display="https://arizonaai.com/data-centers"/>
    <hyperlink ref="E188" r:id="rId187" display="https://www.datacentermap.com/usa/arizona/phoenix/"/>
    <hyperlink ref="E189" r:id="rId188" display="https://baxtel.com/data-center/phoenix"/>
    <hyperlink ref="E190" r:id="rId189" display="https://news.constructconnect.com/aligned-data-centers-breaks-ground-in-glendale-expanding-arizona-infrastructure"/>
    <hyperlink ref="E191" r:id="rId190" display="https://dcnnmagazine.com/data-centres/aligned-data-centers-breaks-ground-on-glendale-facility/"/>
    <hyperlink ref="E192" r:id="rId191" display="https://www.glendalestar.com/news/aligned-data-centers-breaks-ground/article_4c7a2620-ccc3-4821-a236-dbfedb40ae85.html"/>
    <hyperlink ref="E193" r:id="rId192" display="https://www.datacenterdynamics.com/en/news/aligned-breaks-ground-on-data-center-in-phoenix-arizona/"/>
    <hyperlink ref="E194" r:id="rId193" display="https://www.constructconnect.com/construction-economic-news/aligned-data-centers-breaks-ground-on-phx-13-facility-expanding-arizona-infrastructure"/>
    <hyperlink ref="E195" r:id="rId194" display="https://www.glendaleaz.gov/Business/Economic-Development/Economic-Development-News/2025/Aligned-Data-Centers-Breaks-Ground-on-Phx-13-Facility"/>
    <hyperlink ref="E196" r:id="rId195" display="https://www.compute-atlas.com/facilities/aligned-phx13-glendale-az"/>
    <hyperlink ref="E197" r:id="rId196" display="https://www.prnewswire.com/news-releases/5c-data-centers-announces-new-data-center-region-in-phoenix-arizona-302252217.html"/>
    <hyperlink ref="E198" r:id="rId197" display="https://www.gpec.org/news/5c-data-centers-new-data-center-region-in-phoenix/"/>
    <hyperlink ref="E199" r:id="rId198" display="https://baxtel.com/data-center/5cdc-phoenix-phx01"/>
    <hyperlink ref="E200" r:id="rId199" display="https://www.compute-atlas.com/facilities/5c-data-centers-phx01-phoenix-az"/>
    <hyperlink ref="E201" r:id="rId200" display="https://www.datacenterdynamics.com/en/news/qts-acquires-200-acres-in-avondale-area-of-phoenix-arizona/"/>
    <hyperlink ref="E202" r:id="rId201" display="https://www.datacentermap.com/usa/arizona/phoenix/qts-avondale/"/>
    <hyperlink ref="E203" r:id="rId202" display="https://baxtel.com/data-center/qts-hermosa-ranch"/>
    <hyperlink ref="E204" r:id="rId203" display="https://q.com/data-centers/phoenix-4/"/>
    <hyperlink ref="E205" r:id="rId204" display="https://www.compute-atlas.com/facilities/qts-phoenix-4-tolleson-az"/>
    <hyperlink ref="E206" r:id="rId205" display="https://www.globenewswire.com/news-release/2024/08/28/2937145/0/en/Tract-Closes-Acquisition-of-2-069-acres-in-Buckeye-Arizona.html"/>
    <hyperlink ref="E207" r:id="rId206" display="https://www.datacenterdynamics.com/en/news/tract-plans-1700-acre-data-center-campus-in-phoenix-arizona/"/>
    <hyperlink ref="E208" r:id="rId207" display="https://azbigmedia.com/real-estate/2069-acre-parcel-will-become-a20-billion-data-center-park-in-buckeye/"/>
    <hyperlink ref="E209" r:id="rId208" display="https://azbex.com/planning-development/tract-planning-1700-acre-buckeye-data-center-campus/"/>
    <hyperlink ref="E210" r:id="rId209" display="https://www.tract.com/project/buckeye/"/>
    <hyperlink ref="E211" r:id="rId210" display="https://www.azfamily.com/2024/08/30/developer-wants-power-future-ai-buckeye-with-new-data-center/"/>
    <hyperlink ref="E212" r:id="rId211" display="https://d3n9y02raazwpg.cloudfront.net/buckeyeaz/0eb9a025-6f87-11ee-b4aa-0050569183fa-8fca9741-32ef-4a0f-b8ad-ee8a00454790-1722900291.pdf"/>
    <hyperlink ref="E213" r:id="rId212" display="https://buckeyeaz.granicus.com/services/minutes/reports/23859ad0-eafd-4e39-b582-796e20fdc9cb/attachment"/>
    <hyperlink ref="E214" r:id="rId213" display="https://www.compute-atlas.com/facilities/tract-buckeye-tech-corridor-az"/>
    <hyperlink ref="E215" r:id="rId214" display="https://www.connectcre.com/stories/25b-data-center-greenlit-near-buckeye/"/>
    <hyperlink ref="E216" r:id="rId215" display="https://fortune.com/2025/12/27/ai-data-centers-arizona-hassayampa-ranch/"/>
    <hyperlink ref="E217" r:id="rId216" display="https://www.orionprop.com/topfive/maricopa-county-approves-rezoning-for-proposed-25b-data-center-hub/"/>
    <hyperlink ref="E218" r:id="rId217" display="https://berryriddell.com/25b-data-center-planned-west-of-phoenix-wins-key-approval-from-county/"/>
    <hyperlink ref="E219" r:id="rId218" display="https://www.compute-atlas.com/facilities/arizona-land-consulting-hassayampa-ranch-tonopah-az"/>
    <hyperlink ref="E220" r:id="rId219" display="https://www.datacenterdynamics.com/en/news/qts-files-for-750mw-campus-in-phoenix-arizona/"/>
    <hyperlink ref="E221" r:id="rId220" display="https://q.com/data-centers/phoenix-3/"/>
    <hyperlink ref="E222" r:id="rId221" display="https://azbex.com/planning-development/3msf-data-center-campus-planned-in-glendale/"/>
    <hyperlink ref="E223" r:id="rId222" display="https://www.datacentermap.com/usa/arizona/phoenix/qts-glendale/"/>
    <hyperlink ref="E224" r:id="rId223" display="https://www.datacentermap.com/usa/arizona/phoenix/"/>
    <hyperlink ref="E225" r:id="rId224" display="https://pinalpost.com/florence-approves-data-centers-on-1619-acres-as-dobson-farms-becomes-major-tech-park/"/>
    <hyperlink ref="E226" r:id="rId225" display="https://www.compute-atlas.com/facilities/edgecore-dobson-farms-east-florence-az"/>
    <hyperlink ref="E227" r:id="rId226" display="https://www.datacenterdynamics.com/en/news/compass-datacenters-acquires-120-acres-in-el-mirage-arizona/"/>
    <hyperlink ref="E228" r:id="rId227" display="https://www.datacentermap.com/usa/arizona/phoenix/compass-phx-ii-building-3/"/>
    <hyperlink ref="E229" r:id="rId228" display="https://azbex.com/planning-development/new-data-center-proposed-in-el-mirage/"/>
    <hyperlink ref="E230" r:id="rId229" display="https://azbex.com/planning-development/new-data-center-planned-in-south-phoenix/"/>
    <hyperlink ref="E231" r:id="rId230" display="https://www.compute-atlas.com/facilities/phoenixnap-phx02-phoenix-az"/>
    <hyperlink ref="E232" r:id="rId231" display="https://baxtel.com/data-center/vantage-glendale-az3"/>
    <hyperlink ref="E233" r:id="rId232" display="https://news.datacenterview.com/p/january-8-2026-vantage-acquires-land-for-58-5m"/>
    <hyperlink ref="E234" r:id="rId233" display="https://www.datacenterdynamics.com/en/news/prime-and-vantage-buy-land-phoenix-arizona/"/>
    <hyperlink ref="E235" r:id="rId234" display="https://azbex.com/planning-development/tonopah-mixed-use-development-rezoning/"/>
    <hyperlink ref="E236" r:id="rId235" display="https://www.compute-atlas.com/facilities/arizona-land-consulting-balterra-tonopah-az"/>
    <hyperlink ref="E237" r:id="rId236" display="https://azbex.com/planning-development/maricopa-county-board-approves-rezoning-for-638-acre-data-center-solar-site/"/>
    <hyperlink ref="E238" r:id="rId237" display="https://www.compute-atlas.com/facilities/grandilla-foot-creek-491st-thomas-tonopah-az"/>
    <hyperlink ref="E239" r:id="rId238" display="https://www.fox10phoenix.com/news/new-data-centers-planned-glendale-spark-concerns-among-residents"/>
    <hyperlink ref="E240" r:id="rId239" display="https://www.abc15.com/news/local-news/very-disappointed-maricopa-county-supervisors-approve-controversial-data-center"/>
    <hyperlink ref="E241" r:id="rId240" display="https://www.projectbaccara.com/"/>
    <hyperlink ref="E242" r:id="rId241" display="https://www.azcc.gov/news/home/2026/02/06/february-4--2026-open-meeting-highlights"/>
    <hyperlink ref="E243" r:id="rId242" display="https://www.maricopa.gov/AgendaCenter/ViewFile/Item/10264?fileID=100345"/>
    <hyperlink ref="E244" r:id="rId243" display="https://azbex.com/planning-development/2-data-center-projects-advancing-in-metro-phoenix/"/>
    <hyperlink ref="E245" r:id="rId244" display="https://www.projectbaccara.com/_files/ugd/cbe98b_459cc246ea694c9f99e6fc4e9b79b975.pdf"/>
    <hyperlink ref="E246" r:id="rId245" display="https://www.projectbaccara.com/_files/ugd/cbe98b_7cd257dc576944ffb5f945e9ade851bb.pdf"/>
    <hyperlink ref="E247" r:id="rId246" display="https://www.azfamily.com/2026/05/07/massive-data-center-approved-near-luke-air-force-base-despite-opposition/"/>
    <hyperlink ref="E248" r:id="rId247" display="https://www.abc15.com/news/local-news/very-disappointed-maricopa-county-supervisors-approve-controversial-data-center"/>
    <hyperlink ref="E249" r:id="rId248" display="https://www.watereducation.org/aquafornia-news/controversial-surprise-data-center-clears-environmental-review"/>
    <hyperlink ref="E250" r:id="rId249" display="https://www.compute-atlas.com/facilities/takanock-project-baccara-maricopa-county-az"/>
    <hyperlink ref="E251" r:id="rId250" display="https://pinalpost.com/florence-approves-data-centers-on-1619-acres-as-dobson-farms-becomes-major-tech-park/"/>
    <hyperlink ref="E252" r:id="rId251" display="https://www.compute-atlas.com/facilities/ryan-companies-florence-tech-park-az"/>
    <hyperlink ref="E253" r:id="rId252" display="https://pinalpost.com/supervisors-approve-project-midway-data-center-near-casa-grande/"/>
    <hyperlink ref="E254" r:id="rId253" display="https://pinalpost.com/data-center-hearing-project-midway-rezoning-set-for-july-16/"/>
    <hyperlink ref="E255" r:id="rId254" display="https://www.compute-atlas.com/facilities/lpi-group-project-midway-casa-grande-az"/>
    <hyperlink ref="E256" r:id="rId255" display="https://www.pinalcentral.com/maricopa_monitor/news/pinal-supervisors-approve-3-data-center-projects-with-some-concern/article_a6f448f1-f8b2-4eda-a1da-d70d9b921f8c.html"/>
    <hyperlink ref="E257" r:id="rId256" display="https://inmaricopa.com/data-center-okd/"/>
    <hyperlink ref="E258" r:id="rId257" display="https://pinalpost.com/commission-recommends-data-center-campus-despite-resident-tribal-pushback/"/>
    <hyperlink ref="E259" r:id="rId258" display="https://www.compute-atlas.com/facilities/w-holdings-energy-generation-technology-campus-maricopa-az"/>
    <hyperlink ref="E260" r:id="rId259" display="https://pinalpost.com/casa-grande-data-center-waiver-approved/"/>
    <hyperlink ref="E261" r:id="rId260" display="https://www.azfamily.com/2026/01/09/two-southern-arizona-data-centers-move-forward-so-do-fights-over-power-water-growth/"/>
    <hyperlink ref="E262" r:id="rId261" display="https://tucson.com/news/local/environment/article_52f0d4ba-aa9e-4c17-b290-ca3c2ad8d011.html"/>
    <hyperlink ref="E263" r:id="rId262" display="https://news.azpm.org/s/102313-marana-planning-commission-backs-rezoning-for-600-acre-data-center-project/"/>
    <hyperlink ref="E264" r:id="rId263" display="https://news.azpm.org/p/azpmnews/2026/2/10/228403-marana-residents-submit-petitions-to-put-data-center-project-to-a-vote/"/>
    <hyperlink ref="E265" r:id="rId264" display="https://www.tucsonsentinel.com/local/report/021826_data_referendum_fails/marana-rejects-referendums-against-data-center-center-rezoning/"/>
    <hyperlink ref="E266" r:id="rId265" display="https://www.kgun9.com/news/community-inspired-journalism/marana/data-center-moves-forward-marana-town-council-approves-land-rezoning"/>
    <hyperlink ref="E267" r:id="rId266" display="https://news.azpm.org/p/news-articles/2026/1/8/227908-marana-town-council-approves-rezoning-for-luckett-road-project-600-acre-hyperscale-data-center/"/>
    <hyperlink ref="E268" r:id="rId267" display="https://www.compute-atlas.com/facilities/fremont-peak-luckett-road-marana-az"/>
    <hyperlink ref="E269" r:id="rId268" display="https://azbex.com/planning-development/12-5b-mohave-data-center-plan-could-face-new-hurdle/"/>
    <hyperlink ref="E270" r:id="rId269" display="https://azbex.com/local-news/mohave-county-to-require-data-centers-to-provide-power-and-water/"/>
    <hyperlink ref="E271" r:id="rId270" display="https://www.datacenterdynamics.com/en/news/data-center-proposed-for-500-acre-site-in-page-arizona/"/>
    <hyperlink ref="E272" r:id="rId271" display="https://azbex.com/planning-development/page-rejects-petition-opposing-10b-data-center/"/>
    <hyperlink ref="E273" r:id="rId272" display="https://www.datacenterdynamics.com/en/news/us-govt-assesses-interest-in-a-500mw-data-center-at-air-force-base-in-arizona/"/>
    <hyperlink ref="E274" r:id="rId273" display="https://sam.gov/opp/5215c59dc17b44feb3fc309bfc7fb83f/view"/>
    <hyperlink ref="E275" r:id="rId274" display="https://azbex.com/local-news/davis-monthan-air-force-base-eligible-for-private-data-center/"/>
    <hyperlink ref="E276" r:id="rId275" display="https://www.dm.af.mil/Portals/99/Public%20Notice/AI%20Data%20Centers%20FAQ_FINAL.pdf?ver=eVffajYW9ZUZOaYphaOjfA%3D%3D"/>
    <hyperlink ref="E277" r:id="rId276" display="https://www.datacentermap.com/usa/arizona/phoenix/"/>
    <hyperlink ref="E278" r:id="rId277" display="https://azbex.com/planning-development/ryan-companies-2msf-industrial-plan-pivots-to-687m-data-center/"/>
    <hyperlink ref="E279" r:id="rId278" display="https://www.compute-atlas.com/facilities/ryan-companies-southwest-crossing-data-park-eloy-az"/>
    <hyperlink ref="E280" r:id="rId279" display="https://www.datacenterdynamics.com/en/news/ntt-acquires-173-acre-planned-data-center-park-in-mesa-arizona-for-300m/"/>
    <hyperlink ref="E281" r:id="rId280" display="https://coppercourier.com/news/politics/mesa-residents-fight-data-center/"/>
    <hyperlink ref="E282" r:id="rId281" display="https://www.themesatribune.com/news/big-data-center-in-se-mesa-passes-first-review/article_91081b9b-d2d1-47f6-91d2-b600115e4a55.html"/>
    <hyperlink ref="E283" r:id="rId282" display="https://www.compute-atlas.com/facilities/ntt-global-mesa-az"/>
    <hyperlink ref="E284" r:id="rId283" display="https://www.commercialsearch.com/news/cyrusone-acquires-70-acre-site-for-2nd-phoenix-facility/"/>
    <hyperlink ref="E285" r:id="rId284" display="https://baxtel.com/data-center/cyrusone-mesa"/>
    <hyperlink ref="E286" r:id="rId285" display="https://www.compute-atlas.com/facilities/cyrusone-mesa-elliot-ellsworth-az"/>
    <hyperlink ref="E287" r:id="rId286" display="https://www.datacenterdynamics.com/en/news/aws-plots-four-data-centers-in-mesa-arizona/"/>
    <hyperlink ref="E288" r:id="rId287" display="https://www.aztechcouncil.org/amazon-submits-plans-for-multiple-data-centers-in-mesa/"/>
    <hyperlink ref="E289" r:id="rId288" display="https://arizonaai.com/data-centers"/>
    <hyperlink ref="E290" r:id="rId289" display="https://www.datacenterdynamics.com/en/news/amazon-acquires-220-acres-in-phoenix-arizona-for-possible-data-center/"/>
    <hyperlink ref="E291" r:id="rId290" display="https://www.aztechcouncil.org/amazon-buys-massive-valley-site-for-potential-data-center/"/>
    <hyperlink ref="E292" r:id="rId291" display="https://www.compute-atlas.com/facilities/aws-laveen-az"/>
    <hyperlink ref="E293" r:id="rId292" display="https://azbex.com/local-news/peoria-data-center-restrictions/"/>
    <hyperlink ref="E294" r:id="rId293" display="https://www.abc15.com/news/business/aligned-data-centers-moves-ahead-with-two-building-campus-in-peoria"/>
    <hyperlink ref="E295" r:id="rId294" display="https://www.compute-atlas.com/facilities/aligned-peoria-campus-az"/>
    <hyperlink ref="E296" r:id="rId295" display="https://azbex.com/planning-development/320-acre-warehouse-data-center-master-plan-proposed-in-far-west-valley/"/>
    <hyperlink ref="E297" r:id="rId296" display="https://www.compute-atlas.com/facilities/arizona-land-consulting-camelback-creek-tonopah-az"/>
    <hyperlink ref="E298" r:id="rId297" display="https://www.datacentermap.com/usa/arizona/phoenix/"/>
    <hyperlink ref="E299" r:id="rId298" display="https://www.maricopa.gov/AgendaCenter/ViewFile/Item/10316?fileID=100604"/>
    <hyperlink ref="E300" r:id="rId299" display="https://www.compute-atlas.com/facilities/wintersburg-313-tonopah-az"/>
    <hyperlink ref="E301" r:id="rId300" display="https://azbex.com/planning-development/zoning-change-could-bring-data-centers-to-belmont-mixed-use-area/"/>
    <hyperlink ref="E302" r:id="rId301" display="https://www.kjzz.org/politics/2026-03-04/this-buckeye-land-was-once-planned-as-a-hydrogen-gas-plant-now-it-could-be-a-data-center"/>
    <hyperlink ref="E303" r:id="rId302" display="https://azbex.com/local-news/fortescue-seeks-hydrogen-site-changes-to-allow-for-possible-data-center/"/>
    <hyperlink ref="E304" r:id="rId303" display="https://citizenportal.ai/articles/7995557/Arizona/Maricopa-County/Buckeye/Buckeye-council-approves-zoning-amendment-that-could-allow-broader-industrial-uses-including-a-potential-data-center"/>
    <hyperlink ref="E305" r:id="rId304" display="https://www.datacentermap.com/usa/arizona/phoenix/fortescue-buckeye/"/>
    <hyperlink ref="E306" r:id="rId305" display="https://azbex.com/planning-development/1500-acre-business-and-technology-campus-planned-in-pinal-county/"/>
    <hyperlink ref="E307" r:id="rId306" display="https://pinalpost.com/data-center-south-of-maricopa-tech-campus-2026-september-worksession/"/>
    <hyperlink ref="E308" r:id="rId307" display="https://www.compute-atlas.com/facilities/zinke-arizona-independent-technology-campus-pinal-az"/>
    <hyperlink ref="E309" r:id="rId308" display="https://baxtel.com/data-center/arizona-land-casa-grande"/>
    <hyperlink ref="E310" r:id="rId309" display="https://tucson.com/news/local/government-politics/article_88b66e8c-6502-49de-832e-7cba5f958a77.html"/>
    <hyperlink ref="E311" r:id="rId310" display="https://www.compute-atlas.com/facilities/sahuarita-holdings-project-gravel-pima-county-az"/>
    <hyperlink ref="E312" r:id="rId311" display="https://therealdeal.com/national/phoenix/2024/05/02/tract-drops-14b-plan-to-build-data-centers-outside-phoenix/"/>
    <hyperlink ref="E313" r:id="rId312" display="https://www.datacentermap.com/usa/arizona/phoenix/project-range/"/>
    <hyperlink ref="E314" r:id="rId313" display="https://azbex.com/planning-development/massive-data-center-master-plan-proposed-in-west-valley/"/>
    <hyperlink ref="E315" r:id="rId314" display="https://www.compute-atlas.com/facilities/tract-project-range-buckeye-goodyear-az"/>
    <hyperlink ref="E316" r:id="rId315" display="https://www.datacenterdynamics.com/en/news/vintage-partners-scraps-phoenix-arizona-data-center-plans/"/>
    <hyperlink ref="E317" r:id="rId316" display="https://azbex.com/planning-development/data-center-changes-result-in-plan-change-to-mixed-use/"/>
    <hyperlink ref="E318" r:id="rId317" display="https://azbex.com/planning-development/data-center-plan-sparks-chandler-opposition/"/>
    <hyperlink ref="E319" r:id="rId318" display="https://www.axios.com/local/phoenix/2025/12/16/chandler-rejects-sinema-ai-data-center"/>
    <hyperlink ref="E320" r:id="rId319" display="https://news.datacenterview.com/p/december-16-2025-active-infrastructure-rejected-in-chandler"/>
    <hyperlink ref="E321" r:id="rId320" display="https://www.kjzz.org/politics/2026-08-26/pinal-county-rejects-massive-la-osa-data-center-residents-want-more-rules-for-future-projects"/>
    <hyperlink ref="E322" r:id="rId321" display="https://azbex.com/planning-development/pinal-pz-recommends-data-center-energy-master-plan-rezone/"/>
    <hyperlink ref="E323" r:id="rId322" display="https://www.datacenterdynamics.com/en/news/land-developer-vermaland-plans-33bn-data-center-in-arizona/"/>
    <hyperlink ref="E324" r:id="rId323" display="https://azbigmedia.com/business/33-billion-data-center-industrial-park-coming-to-pinal-county/"/>
    <hyperlink ref="E325" r:id="rId324" display="https://www.kjzz.org/fronteras-desk/2026-05-28/largest-proposed-data-center-in-arizona-to-be-scaled-back-80-after-opposition"/>
    <hyperlink ref="E326" r:id="rId325" display="https://hoodline.com/2026/04/pinal-county-panel-backs-massive-la-osa-data-center-in-eloy-desert/"/>
    <hyperlink ref="E327" r:id="rId326" display="https://www.commercialsearch.com/news/33b-data-center-park-eyed-in-arizona/"/>
    <hyperlink ref="E328" r:id="rId327" display="https://www.kjzz.org/politics/2026-08-26/pinal-county-rejects-massive-la-osa-data-center-residents-want-more-rules-for-future-projects"/>
    <hyperlink ref="E329" r:id="rId328" display="https://www.sonorandesert.org/2026/08/26/data-centers-update/"/>
    <hyperlink ref="E330" r:id="rId329" display="https://www.compute-atlas.com/facilities/vermaland-la-osa-eloy-az"/>
    <hyperlink ref="E331" r:id="rId330" display="https://www.datacenterdynamics.com/en/news/3bn-solar-data-center-proposed-arizona/"/>
    <hyperlink ref="E332" r:id="rId331" display="https://www.kdminer.com/3b-hive-data-farm-in-golden-valley-could-become-a-simple-solar-field/article_ef354c84-5515-51c5-a489-95b3387b3abb.html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4"/>
    <col collapsed="false" customWidth="true" hidden="false" outlineLevel="0" max="3" min="3" style="0" width="80"/>
    <col collapsed="false" customWidth="true" hidden="false" outlineLevel="0" max="4" min="4" style="0" width="12"/>
    <col collapsed="false" customWidth="true" hidden="false" outlineLevel="0" max="5" min="5" style="0" width="90"/>
  </cols>
  <sheetData>
    <row r="1" customFormat="false" ht="42" hidden="false" customHeight="true" outlineLevel="0" collapsed="false">
      <c r="A1" s="4" t="s">
        <v>1202</v>
      </c>
      <c r="B1" s="4" t="s">
        <v>1203</v>
      </c>
      <c r="C1" s="4" t="s">
        <v>1204</v>
      </c>
      <c r="D1" s="4" t="s">
        <v>710</v>
      </c>
      <c r="E1" s="4" t="s">
        <v>711</v>
      </c>
    </row>
    <row r="2" customFormat="false" ht="15" hidden="false" customHeight="false" outlineLevel="0" collapsed="false">
      <c r="A2" s="0" t="n">
        <v>1</v>
      </c>
      <c r="B2" s="0" t="s">
        <v>1205</v>
      </c>
      <c r="C2" s="0" t="s">
        <v>1206</v>
      </c>
      <c r="D2" s="0" t="s">
        <v>1207</v>
      </c>
      <c r="E2" s="35" t="s">
        <v>1208</v>
      </c>
    </row>
    <row r="3" customFormat="false" ht="15" hidden="false" customHeight="false" outlineLevel="0" collapsed="false">
      <c r="A3" s="0" t="n">
        <v>2</v>
      </c>
      <c r="B3" s="0" t="s">
        <v>1205</v>
      </c>
      <c r="C3" s="0" t="s">
        <v>1209</v>
      </c>
      <c r="D3" s="0" t="s">
        <v>1210</v>
      </c>
      <c r="E3" s="35" t="s">
        <v>1211</v>
      </c>
    </row>
    <row r="4" customFormat="false" ht="15" hidden="false" customHeight="false" outlineLevel="0" collapsed="false">
      <c r="A4" s="0" t="n">
        <v>3</v>
      </c>
      <c r="B4" s="0" t="s">
        <v>1212</v>
      </c>
      <c r="C4" s="0" t="s">
        <v>1213</v>
      </c>
      <c r="D4" s="0" t="s">
        <v>1214</v>
      </c>
      <c r="E4" s="35" t="s">
        <v>1215</v>
      </c>
    </row>
    <row r="5" customFormat="false" ht="15" hidden="false" customHeight="false" outlineLevel="0" collapsed="false">
      <c r="A5" s="0" t="n">
        <v>4</v>
      </c>
      <c r="B5" s="0" t="s">
        <v>1216</v>
      </c>
      <c r="C5" s="0" t="s">
        <v>1217</v>
      </c>
      <c r="D5" s="0" t="s">
        <v>1207</v>
      </c>
      <c r="E5" s="35" t="s">
        <v>1218</v>
      </c>
    </row>
    <row r="6" customFormat="false" ht="15" hidden="false" customHeight="false" outlineLevel="0" collapsed="false">
      <c r="A6" s="0" t="n">
        <v>5</v>
      </c>
      <c r="B6" s="0" t="s">
        <v>1216</v>
      </c>
      <c r="C6" s="0" t="s">
        <v>1219</v>
      </c>
      <c r="D6" s="0" t="s">
        <v>1207</v>
      </c>
      <c r="E6" s="35" t="s">
        <v>1220</v>
      </c>
    </row>
    <row r="7" customFormat="false" ht="15" hidden="false" customHeight="false" outlineLevel="0" collapsed="false">
      <c r="A7" s="0" t="n">
        <v>6</v>
      </c>
      <c r="B7" s="0" t="s">
        <v>1221</v>
      </c>
      <c r="C7" s="0" t="s">
        <v>1222</v>
      </c>
      <c r="D7" s="0" t="s">
        <v>1223</v>
      </c>
      <c r="E7" s="35" t="s">
        <v>1224</v>
      </c>
    </row>
    <row r="8" customFormat="false" ht="15" hidden="false" customHeight="false" outlineLevel="0" collapsed="false">
      <c r="A8" s="0" t="n">
        <v>7</v>
      </c>
      <c r="B8" s="0" t="s">
        <v>1225</v>
      </c>
      <c r="C8" s="0" t="s">
        <v>1226</v>
      </c>
      <c r="D8" s="0" t="s">
        <v>1227</v>
      </c>
      <c r="E8" s="35" t="s">
        <v>1228</v>
      </c>
    </row>
    <row r="9" customFormat="false" ht="15" hidden="false" customHeight="false" outlineLevel="0" collapsed="false">
      <c r="A9" s="0" t="n">
        <v>8</v>
      </c>
      <c r="B9" s="0" t="s">
        <v>1225</v>
      </c>
      <c r="C9" s="0" t="s">
        <v>1229</v>
      </c>
      <c r="D9" s="0" t="s">
        <v>1230</v>
      </c>
      <c r="E9" s="35" t="s">
        <v>1231</v>
      </c>
    </row>
    <row r="10" customFormat="false" ht="15" hidden="false" customHeight="false" outlineLevel="0" collapsed="false">
      <c r="A10" s="0" t="n">
        <v>9</v>
      </c>
      <c r="B10" s="0" t="s">
        <v>1232</v>
      </c>
      <c r="C10" s="0" t="s">
        <v>1233</v>
      </c>
      <c r="D10" s="0" t="s">
        <v>1062</v>
      </c>
      <c r="E10" s="35" t="s">
        <v>1234</v>
      </c>
    </row>
    <row r="11" customFormat="false" ht="15" hidden="false" customHeight="false" outlineLevel="0" collapsed="false">
      <c r="A11" s="0" t="n">
        <v>10</v>
      </c>
      <c r="B11" s="0" t="s">
        <v>1232</v>
      </c>
      <c r="C11" s="0" t="s">
        <v>1235</v>
      </c>
      <c r="D11" s="0" t="s">
        <v>1207</v>
      </c>
      <c r="E11" s="35" t="s">
        <v>1236</v>
      </c>
    </row>
    <row r="12" customFormat="false" ht="15" hidden="false" customHeight="false" outlineLevel="0" collapsed="false">
      <c r="A12" s="0" t="n">
        <v>11</v>
      </c>
      <c r="B12" s="0" t="s">
        <v>1232</v>
      </c>
      <c r="C12" s="0" t="s">
        <v>1237</v>
      </c>
      <c r="D12" s="0" t="s">
        <v>1238</v>
      </c>
      <c r="E12" s="35" t="s">
        <v>1239</v>
      </c>
    </row>
    <row r="13" customFormat="false" ht="15" hidden="false" customHeight="false" outlineLevel="0" collapsed="false">
      <c r="A13" s="0" t="n">
        <v>12</v>
      </c>
      <c r="B13" s="0" t="s">
        <v>1232</v>
      </c>
      <c r="C13" s="0" t="s">
        <v>1240</v>
      </c>
      <c r="D13" s="0" t="s">
        <v>1241</v>
      </c>
      <c r="E13" s="35" t="s">
        <v>1242</v>
      </c>
    </row>
    <row r="14" customFormat="false" ht="15" hidden="false" customHeight="false" outlineLevel="0" collapsed="false">
      <c r="A14" s="0" t="n">
        <v>13</v>
      </c>
      <c r="B14" s="0" t="s">
        <v>1243</v>
      </c>
      <c r="C14" s="0" t="s">
        <v>1244</v>
      </c>
      <c r="D14" s="0" t="s">
        <v>1238</v>
      </c>
      <c r="E14" s="35" t="s">
        <v>1245</v>
      </c>
    </row>
    <row r="15" customFormat="false" ht="15" hidden="false" customHeight="false" outlineLevel="0" collapsed="false">
      <c r="A15" s="0" t="n">
        <v>14</v>
      </c>
      <c r="B15" s="0" t="s">
        <v>1246</v>
      </c>
      <c r="C15" s="0" t="s">
        <v>1247</v>
      </c>
      <c r="D15" s="0" t="s">
        <v>926</v>
      </c>
      <c r="E15" s="35" t="s">
        <v>1248</v>
      </c>
    </row>
    <row r="16" customFormat="false" ht="15" hidden="false" customHeight="false" outlineLevel="0" collapsed="false">
      <c r="A16" s="0" t="n">
        <v>15</v>
      </c>
      <c r="B16" s="0" t="s">
        <v>1249</v>
      </c>
      <c r="C16" s="0" t="s">
        <v>1250</v>
      </c>
      <c r="D16" s="0" t="s">
        <v>1251</v>
      </c>
      <c r="E16" s="35" t="s">
        <v>1252</v>
      </c>
    </row>
    <row r="17" customFormat="false" ht="15" hidden="false" customHeight="false" outlineLevel="0" collapsed="false">
      <c r="A17" s="0" t="n">
        <v>16</v>
      </c>
      <c r="B17" s="0" t="s">
        <v>1249</v>
      </c>
      <c r="C17" s="0" t="s">
        <v>1253</v>
      </c>
      <c r="D17" s="0" t="s">
        <v>1254</v>
      </c>
      <c r="E17" s="35" t="s">
        <v>1255</v>
      </c>
    </row>
    <row r="18" customFormat="false" ht="15" hidden="false" customHeight="false" outlineLevel="0" collapsed="false">
      <c r="A18" s="0" t="n">
        <v>17</v>
      </c>
      <c r="B18" s="0" t="s">
        <v>1256</v>
      </c>
      <c r="C18" s="0" t="s">
        <v>1257</v>
      </c>
      <c r="D18" s="0" t="s">
        <v>1210</v>
      </c>
      <c r="E18" s="35" t="s">
        <v>1258</v>
      </c>
    </row>
    <row r="19" customFormat="false" ht="15" hidden="false" customHeight="false" outlineLevel="0" collapsed="false">
      <c r="A19" s="0" t="n">
        <v>18</v>
      </c>
      <c r="B19" s="0" t="s">
        <v>1259</v>
      </c>
      <c r="C19" s="0" t="s">
        <v>1260</v>
      </c>
      <c r="D19" s="0" t="s">
        <v>1261</v>
      </c>
      <c r="E19" s="35" t="s">
        <v>1262</v>
      </c>
    </row>
    <row r="20" customFormat="false" ht="15" hidden="false" customHeight="false" outlineLevel="0" collapsed="false">
      <c r="A20" s="0" t="n">
        <v>19</v>
      </c>
      <c r="B20" s="0" t="s">
        <v>1263</v>
      </c>
      <c r="C20" s="0" t="s">
        <v>1264</v>
      </c>
      <c r="D20" s="0" t="s">
        <v>1265</v>
      </c>
      <c r="E20" s="35" t="s">
        <v>1266</v>
      </c>
    </row>
    <row r="21" customFormat="false" ht="15" hidden="false" customHeight="false" outlineLevel="0" collapsed="false">
      <c r="A21" s="0" t="n">
        <v>20</v>
      </c>
      <c r="B21" s="0" t="s">
        <v>1267</v>
      </c>
      <c r="C21" s="0" t="s">
        <v>1268</v>
      </c>
      <c r="D21" s="0" t="s">
        <v>1269</v>
      </c>
      <c r="E21" s="35" t="s">
        <v>1270</v>
      </c>
    </row>
    <row r="22" customFormat="false" ht="15" hidden="false" customHeight="false" outlineLevel="0" collapsed="false">
      <c r="A22" s="0" t="n">
        <v>21</v>
      </c>
      <c r="B22" s="0" t="s">
        <v>1271</v>
      </c>
      <c r="C22" s="0" t="s">
        <v>1272</v>
      </c>
      <c r="D22" s="0" t="s">
        <v>1273</v>
      </c>
      <c r="E22" s="35" t="s">
        <v>1274</v>
      </c>
    </row>
    <row r="23" customFormat="false" ht="15" hidden="false" customHeight="false" outlineLevel="0" collapsed="false">
      <c r="A23" s="0" t="n">
        <v>22</v>
      </c>
      <c r="B23" s="0" t="s">
        <v>1275</v>
      </c>
      <c r="C23" s="0" t="s">
        <v>1276</v>
      </c>
      <c r="D23" s="0" t="s">
        <v>880</v>
      </c>
      <c r="E23" s="35" t="s">
        <v>1277</v>
      </c>
    </row>
    <row r="24" customFormat="false" ht="15" hidden="false" customHeight="false" outlineLevel="0" collapsed="false">
      <c r="A24" s="0" t="n">
        <v>23</v>
      </c>
      <c r="B24" s="0" t="s">
        <v>1278</v>
      </c>
      <c r="C24" s="0" t="s">
        <v>1279</v>
      </c>
      <c r="D24" s="0" t="s">
        <v>1062</v>
      </c>
      <c r="E24" s="35" t="s">
        <v>1280</v>
      </c>
    </row>
    <row r="25" customFormat="false" ht="15" hidden="false" customHeight="false" outlineLevel="0" collapsed="false">
      <c r="A25" s="0" t="n">
        <v>24</v>
      </c>
      <c r="B25" s="0" t="s">
        <v>1281</v>
      </c>
      <c r="C25" s="0" t="s">
        <v>1282</v>
      </c>
      <c r="D25" s="0" t="s">
        <v>1273</v>
      </c>
      <c r="E25" s="35" t="s">
        <v>1283</v>
      </c>
    </row>
    <row r="26" customFormat="false" ht="15" hidden="false" customHeight="false" outlineLevel="0" collapsed="false">
      <c r="A26" s="0" t="n">
        <v>25</v>
      </c>
      <c r="B26" s="0" t="s">
        <v>1284</v>
      </c>
      <c r="C26" s="0" t="s">
        <v>1285</v>
      </c>
      <c r="D26" s="0" t="s">
        <v>1026</v>
      </c>
      <c r="E26" s="35" t="s">
        <v>1286</v>
      </c>
    </row>
    <row r="27" customFormat="false" ht="15" hidden="false" customHeight="false" outlineLevel="0" collapsed="false">
      <c r="A27" s="0" t="n">
        <v>26</v>
      </c>
      <c r="B27" s="0" t="s">
        <v>1287</v>
      </c>
      <c r="C27" s="0" t="s">
        <v>1288</v>
      </c>
      <c r="D27" s="0" t="s">
        <v>1289</v>
      </c>
      <c r="E27" s="35" t="s">
        <v>1290</v>
      </c>
    </row>
    <row r="28" customFormat="false" ht="15" hidden="false" customHeight="false" outlineLevel="0" collapsed="false">
      <c r="A28" s="0" t="n">
        <v>27</v>
      </c>
      <c r="B28" s="0" t="s">
        <v>1291</v>
      </c>
      <c r="C28" s="0" t="s">
        <v>1292</v>
      </c>
      <c r="D28" s="0" t="s">
        <v>1273</v>
      </c>
      <c r="E28" s="35" t="s">
        <v>1293</v>
      </c>
    </row>
    <row r="29" customFormat="false" ht="15" hidden="false" customHeight="false" outlineLevel="0" collapsed="false">
      <c r="A29" s="0" t="n">
        <v>28</v>
      </c>
      <c r="B29" s="0" t="s">
        <v>1291</v>
      </c>
      <c r="C29" s="0" t="s">
        <v>1294</v>
      </c>
      <c r="D29" s="0" t="s">
        <v>1295</v>
      </c>
      <c r="E29" s="35" t="s">
        <v>1296</v>
      </c>
    </row>
    <row r="30" customFormat="false" ht="15" hidden="false" customHeight="false" outlineLevel="0" collapsed="false">
      <c r="A30" s="0" t="n">
        <v>29</v>
      </c>
      <c r="B30" s="0" t="s">
        <v>1291</v>
      </c>
      <c r="C30" s="0" t="s">
        <v>1297</v>
      </c>
      <c r="D30" s="0" t="s">
        <v>1207</v>
      </c>
      <c r="E30" s="35" t="s">
        <v>1298</v>
      </c>
    </row>
    <row r="31" customFormat="false" ht="15" hidden="false" customHeight="false" outlineLevel="0" collapsed="false">
      <c r="A31" s="0" t="n">
        <v>30</v>
      </c>
      <c r="B31" s="0" t="s">
        <v>127</v>
      </c>
      <c r="C31" s="0" t="s">
        <v>1299</v>
      </c>
      <c r="D31" s="0" t="s">
        <v>1207</v>
      </c>
      <c r="E31" s="35" t="s">
        <v>1300</v>
      </c>
    </row>
    <row r="32" customFormat="false" ht="15" hidden="false" customHeight="false" outlineLevel="0" collapsed="false">
      <c r="A32" s="0" t="n">
        <v>31</v>
      </c>
      <c r="B32" s="0" t="s">
        <v>1301</v>
      </c>
      <c r="C32" s="0" t="s">
        <v>1302</v>
      </c>
      <c r="D32" s="0" t="s">
        <v>1273</v>
      </c>
      <c r="E32" s="35" t="s">
        <v>1303</v>
      </c>
    </row>
    <row r="33" customFormat="false" ht="15" hidden="false" customHeight="false" outlineLevel="0" collapsed="false">
      <c r="A33" s="0" t="n">
        <v>32</v>
      </c>
      <c r="B33" s="0" t="s">
        <v>1304</v>
      </c>
      <c r="C33" s="0" t="s">
        <v>1305</v>
      </c>
      <c r="D33" s="0" t="s">
        <v>1306</v>
      </c>
      <c r="E33" s="35" t="s">
        <v>1307</v>
      </c>
    </row>
    <row r="34" customFormat="false" ht="15" hidden="false" customHeight="false" outlineLevel="0" collapsed="false">
      <c r="A34" s="0" t="n">
        <v>33</v>
      </c>
      <c r="B34" s="0" t="s">
        <v>1304</v>
      </c>
      <c r="C34" s="0" t="s">
        <v>1308</v>
      </c>
      <c r="D34" s="0" t="s">
        <v>1306</v>
      </c>
      <c r="E34" s="35" t="s">
        <v>1309</v>
      </c>
    </row>
    <row r="35" customFormat="false" ht="15" hidden="false" customHeight="false" outlineLevel="0" collapsed="false">
      <c r="A35" s="0" t="n">
        <v>34</v>
      </c>
      <c r="B35" s="0" t="s">
        <v>1304</v>
      </c>
      <c r="C35" s="0" t="s">
        <v>1310</v>
      </c>
      <c r="D35" s="0" t="s">
        <v>1306</v>
      </c>
      <c r="E35" s="35" t="s">
        <v>1311</v>
      </c>
    </row>
    <row r="36" customFormat="false" ht="15" hidden="false" customHeight="false" outlineLevel="0" collapsed="false">
      <c r="A36" s="0" t="n">
        <v>35</v>
      </c>
      <c r="B36" s="0" t="s">
        <v>1312</v>
      </c>
      <c r="C36" s="0" t="s">
        <v>1313</v>
      </c>
      <c r="D36" s="0" t="s">
        <v>810</v>
      </c>
      <c r="E36" s="35" t="s">
        <v>1314</v>
      </c>
    </row>
    <row r="37" customFormat="false" ht="15" hidden="false" customHeight="false" outlineLevel="0" collapsed="false">
      <c r="A37" s="0" t="n">
        <v>36</v>
      </c>
      <c r="B37" s="0" t="s">
        <v>1312</v>
      </c>
      <c r="C37" s="0" t="s">
        <v>1315</v>
      </c>
      <c r="D37" s="0" t="s">
        <v>1316</v>
      </c>
      <c r="E37" s="35" t="s">
        <v>1317</v>
      </c>
    </row>
    <row r="38" customFormat="false" ht="15" hidden="false" customHeight="false" outlineLevel="0" collapsed="false">
      <c r="A38" s="0" t="n">
        <v>37</v>
      </c>
      <c r="B38" s="0" t="s">
        <v>1312</v>
      </c>
      <c r="C38" s="0" t="s">
        <v>1318</v>
      </c>
      <c r="D38" s="0" t="s">
        <v>1319</v>
      </c>
      <c r="E38" s="35" t="s">
        <v>1320</v>
      </c>
    </row>
    <row r="39" customFormat="false" ht="15" hidden="false" customHeight="false" outlineLevel="0" collapsed="false">
      <c r="A39" s="0" t="n">
        <v>38</v>
      </c>
      <c r="B39" s="0" t="s">
        <v>1321</v>
      </c>
      <c r="C39" s="0" t="s">
        <v>1322</v>
      </c>
      <c r="D39" s="0" t="s">
        <v>1207</v>
      </c>
      <c r="E39" s="35" t="s">
        <v>1323</v>
      </c>
    </row>
    <row r="40" customFormat="false" ht="15" hidden="false" customHeight="false" outlineLevel="0" collapsed="false">
      <c r="A40" s="0" t="n">
        <v>39</v>
      </c>
      <c r="B40" s="0" t="s">
        <v>1324</v>
      </c>
      <c r="C40" s="0" t="s">
        <v>1325</v>
      </c>
      <c r="D40" s="0" t="s">
        <v>1326</v>
      </c>
      <c r="E40" s="35" t="s">
        <v>1327</v>
      </c>
    </row>
    <row r="41" customFormat="false" ht="15" hidden="false" customHeight="false" outlineLevel="0" collapsed="false">
      <c r="A41" s="0" t="n">
        <v>40</v>
      </c>
      <c r="B41" s="0" t="s">
        <v>1328</v>
      </c>
      <c r="C41" s="0" t="s">
        <v>1329</v>
      </c>
      <c r="D41" s="0" t="s">
        <v>1207</v>
      </c>
      <c r="E41" s="35" t="s">
        <v>1330</v>
      </c>
    </row>
    <row r="42" customFormat="false" ht="15" hidden="false" customHeight="false" outlineLevel="0" collapsed="false">
      <c r="A42" s="0" t="n">
        <v>41</v>
      </c>
      <c r="B42" s="0" t="s">
        <v>1328</v>
      </c>
      <c r="C42" s="0" t="s">
        <v>1331</v>
      </c>
      <c r="D42" s="0" t="s">
        <v>1207</v>
      </c>
      <c r="E42" s="35" t="s">
        <v>1332</v>
      </c>
    </row>
    <row r="43" customFormat="false" ht="15" hidden="false" customHeight="false" outlineLevel="0" collapsed="false">
      <c r="A43" s="0" t="n">
        <v>42</v>
      </c>
      <c r="B43" s="0" t="s">
        <v>1333</v>
      </c>
      <c r="C43" s="0" t="s">
        <v>1334</v>
      </c>
      <c r="D43" s="0" t="s">
        <v>1207</v>
      </c>
      <c r="E43" s="35" t="s">
        <v>1335</v>
      </c>
    </row>
    <row r="44" customFormat="false" ht="15" hidden="false" customHeight="false" outlineLevel="0" collapsed="false">
      <c r="A44" s="0" t="n">
        <v>43</v>
      </c>
      <c r="B44" s="0" t="s">
        <v>1336</v>
      </c>
      <c r="C44" s="0" t="s">
        <v>1337</v>
      </c>
      <c r="D44" s="0" t="s">
        <v>1207</v>
      </c>
      <c r="E44" s="35" t="s">
        <v>1338</v>
      </c>
    </row>
    <row r="45" customFormat="false" ht="15" hidden="false" customHeight="false" outlineLevel="0" collapsed="false">
      <c r="A45" s="0" t="n">
        <v>44</v>
      </c>
      <c r="B45" s="0" t="s">
        <v>1339</v>
      </c>
      <c r="C45" s="0" t="s">
        <v>1340</v>
      </c>
      <c r="D45" s="0" t="s">
        <v>1341</v>
      </c>
      <c r="E45" s="35" t="s">
        <v>1342</v>
      </c>
    </row>
    <row r="46" customFormat="false" ht="15" hidden="false" customHeight="false" outlineLevel="0" collapsed="false">
      <c r="A46" s="0" t="n">
        <v>45</v>
      </c>
      <c r="B46" s="0" t="s">
        <v>330</v>
      </c>
      <c r="C46" s="0" t="s">
        <v>1343</v>
      </c>
      <c r="D46" s="0" t="s">
        <v>1344</v>
      </c>
      <c r="E46" s="35" t="s">
        <v>892</v>
      </c>
    </row>
    <row r="47" customFormat="false" ht="15" hidden="false" customHeight="false" outlineLevel="0" collapsed="false">
      <c r="A47" s="0" t="n">
        <v>46</v>
      </c>
      <c r="B47" s="0" t="s">
        <v>1345</v>
      </c>
      <c r="C47" s="0" t="s">
        <v>1346</v>
      </c>
      <c r="D47" s="0" t="s">
        <v>1347</v>
      </c>
      <c r="E47" s="35" t="s">
        <v>799</v>
      </c>
    </row>
    <row r="48" customFormat="false" ht="15" hidden="false" customHeight="false" outlineLevel="0" collapsed="false">
      <c r="A48" s="0" t="n">
        <v>47</v>
      </c>
      <c r="B48" s="0" t="s">
        <v>1348</v>
      </c>
      <c r="C48" s="0" t="s">
        <v>1349</v>
      </c>
      <c r="D48" s="0" t="s">
        <v>1350</v>
      </c>
      <c r="E48" s="35" t="s">
        <v>1351</v>
      </c>
    </row>
    <row r="49" customFormat="false" ht="15" hidden="false" customHeight="false" outlineLevel="0" collapsed="false">
      <c r="A49" s="0" t="n">
        <v>48</v>
      </c>
      <c r="B49" s="0" t="s">
        <v>1348</v>
      </c>
      <c r="C49" s="0" t="s">
        <v>1352</v>
      </c>
      <c r="D49" s="0" t="s">
        <v>1273</v>
      </c>
      <c r="E49" s="35" t="s">
        <v>1353</v>
      </c>
    </row>
    <row r="50" customFormat="false" ht="15" hidden="false" customHeight="false" outlineLevel="0" collapsed="false">
      <c r="A50" s="0" t="n">
        <v>49</v>
      </c>
      <c r="B50" s="0" t="s">
        <v>1348</v>
      </c>
      <c r="C50" s="0" t="s">
        <v>1354</v>
      </c>
      <c r="D50" s="0" t="s">
        <v>1008</v>
      </c>
      <c r="E50" s="35" t="s">
        <v>1355</v>
      </c>
    </row>
    <row r="51" customFormat="false" ht="15" hidden="false" customHeight="false" outlineLevel="0" collapsed="false">
      <c r="A51" s="0" t="n">
        <v>50</v>
      </c>
      <c r="B51" s="0" t="s">
        <v>1312</v>
      </c>
      <c r="C51" s="0" t="s">
        <v>1356</v>
      </c>
      <c r="D51" s="0" t="s">
        <v>1357</v>
      </c>
      <c r="E51" s="35" t="s">
        <v>1358</v>
      </c>
    </row>
    <row r="52" customFormat="false" ht="15" hidden="false" customHeight="false" outlineLevel="0" collapsed="false">
      <c r="A52" s="0" t="n">
        <v>51</v>
      </c>
      <c r="B52" s="0" t="s">
        <v>1359</v>
      </c>
      <c r="C52" s="0" t="s">
        <v>1360</v>
      </c>
      <c r="D52" s="0" t="s">
        <v>1207</v>
      </c>
      <c r="E52" s="35" t="s">
        <v>1361</v>
      </c>
    </row>
    <row r="53" customFormat="false" ht="15" hidden="false" customHeight="false" outlineLevel="0" collapsed="false">
      <c r="A53" s="0" t="n">
        <v>52</v>
      </c>
      <c r="B53" s="0" t="s">
        <v>1348</v>
      </c>
      <c r="C53" s="0" t="s">
        <v>1362</v>
      </c>
      <c r="D53" s="0" t="s">
        <v>1207</v>
      </c>
      <c r="E53" s="35" t="s">
        <v>1363</v>
      </c>
    </row>
    <row r="54" customFormat="false" ht="15" hidden="false" customHeight="false" outlineLevel="0" collapsed="false">
      <c r="A54" s="0" t="n">
        <v>53</v>
      </c>
      <c r="B54" s="0" t="s">
        <v>1364</v>
      </c>
      <c r="C54" s="0" t="s">
        <v>1365</v>
      </c>
      <c r="D54" s="0" t="s">
        <v>1207</v>
      </c>
      <c r="E54" s="35" t="s">
        <v>1366</v>
      </c>
    </row>
    <row r="55" customFormat="false" ht="15" hidden="false" customHeight="false" outlineLevel="0" collapsed="false">
      <c r="A55" s="0" t="n">
        <v>54</v>
      </c>
      <c r="B55" s="0" t="s">
        <v>1367</v>
      </c>
      <c r="C55" s="0" t="s">
        <v>1368</v>
      </c>
      <c r="D55" s="0" t="s">
        <v>1273</v>
      </c>
      <c r="E55" s="35" t="s">
        <v>1369</v>
      </c>
    </row>
    <row r="56" customFormat="false" ht="15" hidden="false" customHeight="false" outlineLevel="0" collapsed="false">
      <c r="A56" s="0" t="n">
        <v>55</v>
      </c>
      <c r="B56" s="0" t="s">
        <v>1370</v>
      </c>
      <c r="C56" s="0" t="s">
        <v>1371</v>
      </c>
      <c r="D56" s="0" t="s">
        <v>1273</v>
      </c>
      <c r="E56" s="35" t="s">
        <v>1372</v>
      </c>
    </row>
    <row r="57" customFormat="false" ht="15" hidden="false" customHeight="false" outlineLevel="0" collapsed="false">
      <c r="A57" s="0" t="n">
        <v>56</v>
      </c>
      <c r="B57" s="0" t="s">
        <v>1328</v>
      </c>
      <c r="C57" s="0" t="s">
        <v>1373</v>
      </c>
      <c r="D57" s="0" t="s">
        <v>1295</v>
      </c>
      <c r="E57" s="35" t="s">
        <v>1374</v>
      </c>
    </row>
    <row r="58" customFormat="false" ht="15" hidden="false" customHeight="false" outlineLevel="0" collapsed="false">
      <c r="A58" s="0" t="n">
        <v>57</v>
      </c>
      <c r="B58" s="0" t="s">
        <v>1375</v>
      </c>
      <c r="C58" s="0" t="s">
        <v>1376</v>
      </c>
      <c r="D58" s="0" t="s">
        <v>1207</v>
      </c>
      <c r="E58" s="35" t="s">
        <v>1377</v>
      </c>
    </row>
    <row r="59" customFormat="false" ht="15" hidden="false" customHeight="false" outlineLevel="0" collapsed="false">
      <c r="A59" s="0" t="n">
        <v>58</v>
      </c>
      <c r="B59" s="0" t="s">
        <v>1378</v>
      </c>
      <c r="C59" s="0" t="s">
        <v>1379</v>
      </c>
      <c r="D59" s="0" t="s">
        <v>1207</v>
      </c>
      <c r="E59" s="35" t="s">
        <v>1380</v>
      </c>
    </row>
    <row r="60" customFormat="false" ht="15" hidden="false" customHeight="false" outlineLevel="0" collapsed="false">
      <c r="A60" s="0" t="n">
        <v>59</v>
      </c>
      <c r="B60" s="0" t="s">
        <v>1304</v>
      </c>
      <c r="C60" s="0" t="s">
        <v>1381</v>
      </c>
      <c r="D60" s="0" t="s">
        <v>1306</v>
      </c>
      <c r="E60" s="35" t="s">
        <v>1382</v>
      </c>
    </row>
    <row r="61" customFormat="false" ht="15" hidden="false" customHeight="false" outlineLevel="0" collapsed="false">
      <c r="A61" s="0" t="n">
        <v>60</v>
      </c>
      <c r="B61" s="0" t="s">
        <v>1383</v>
      </c>
      <c r="C61" s="0" t="s">
        <v>1384</v>
      </c>
      <c r="D61" s="0" t="s">
        <v>1357</v>
      </c>
      <c r="E61" s="35" t="s">
        <v>1385</v>
      </c>
    </row>
    <row r="62" customFormat="false" ht="15" hidden="false" customHeight="false" outlineLevel="0" collapsed="false">
      <c r="A62" s="0" t="n">
        <v>61</v>
      </c>
      <c r="B62" s="0" t="s">
        <v>1386</v>
      </c>
      <c r="C62" s="0" t="s">
        <v>1387</v>
      </c>
      <c r="D62" s="0" t="s">
        <v>1357</v>
      </c>
      <c r="E62" s="35" t="s">
        <v>1388</v>
      </c>
    </row>
    <row r="63" customFormat="false" ht="15" hidden="false" customHeight="false" outlineLevel="0" collapsed="false">
      <c r="A63" s="0" t="n">
        <v>62</v>
      </c>
      <c r="B63" s="0" t="s">
        <v>1389</v>
      </c>
      <c r="C63" s="0" t="s">
        <v>1390</v>
      </c>
      <c r="D63" s="0" t="s">
        <v>1391</v>
      </c>
      <c r="E63" s="35" t="s">
        <v>1392</v>
      </c>
    </row>
    <row r="64" customFormat="false" ht="15" hidden="false" customHeight="false" outlineLevel="0" collapsed="false">
      <c r="A64" s="0" t="n">
        <v>63</v>
      </c>
      <c r="B64" s="0" t="s">
        <v>176</v>
      </c>
      <c r="C64" s="0" t="s">
        <v>1393</v>
      </c>
      <c r="D64" s="0" t="s">
        <v>1207</v>
      </c>
      <c r="E64" s="35" t="s">
        <v>1394</v>
      </c>
    </row>
    <row r="65" customFormat="false" ht="15" hidden="false" customHeight="false" outlineLevel="0" collapsed="false">
      <c r="A65" s="0" t="n">
        <v>64</v>
      </c>
      <c r="B65" s="0" t="s">
        <v>1345</v>
      </c>
      <c r="C65" s="0" t="s">
        <v>1395</v>
      </c>
      <c r="D65" s="0" t="s">
        <v>1396</v>
      </c>
      <c r="E65" s="35" t="s">
        <v>1397</v>
      </c>
    </row>
    <row r="66" customFormat="false" ht="15" hidden="false" customHeight="false" outlineLevel="0" collapsed="false">
      <c r="A66" s="0" t="n">
        <v>65</v>
      </c>
      <c r="B66" s="0" t="s">
        <v>1398</v>
      </c>
      <c r="C66" s="0" t="s">
        <v>1399</v>
      </c>
      <c r="D66" s="0" t="s">
        <v>1207</v>
      </c>
      <c r="E66" s="35" t="s">
        <v>1400</v>
      </c>
    </row>
    <row r="67" customFormat="false" ht="15" hidden="false" customHeight="false" outlineLevel="0" collapsed="false">
      <c r="A67" s="0" t="n">
        <v>66</v>
      </c>
      <c r="B67" s="0" t="s">
        <v>1401</v>
      </c>
      <c r="C67" s="0" t="s">
        <v>1402</v>
      </c>
      <c r="D67" s="0" t="s">
        <v>1403</v>
      </c>
      <c r="E67" s="35" t="s">
        <v>1404</v>
      </c>
    </row>
    <row r="68" customFormat="false" ht="15" hidden="false" customHeight="false" outlineLevel="0" collapsed="false">
      <c r="A68" s="0" t="n">
        <v>67</v>
      </c>
      <c r="B68" s="0" t="s">
        <v>1221</v>
      </c>
      <c r="C68" s="0" t="s">
        <v>1405</v>
      </c>
      <c r="D68" s="0" t="s">
        <v>1178</v>
      </c>
      <c r="E68" s="35" t="s">
        <v>1179</v>
      </c>
    </row>
    <row r="69" customFormat="false" ht="15" hidden="false" customHeight="false" outlineLevel="0" collapsed="false">
      <c r="A69" s="0" t="n">
        <v>68</v>
      </c>
      <c r="B69" s="0" t="s">
        <v>1406</v>
      </c>
      <c r="C69" s="0" t="s">
        <v>1407</v>
      </c>
      <c r="D69" s="0" t="s">
        <v>1207</v>
      </c>
      <c r="E69" s="35" t="s">
        <v>1408</v>
      </c>
    </row>
  </sheetData>
  <hyperlinks>
    <hyperlink ref="E2" r:id="rId1" display="https://www.srpnet.com/about/data-center-facts"/>
    <hyperlink ref="E3" r:id="rId2" display="https://www.srpnet.com/assets/srpnet/pdf/price-plans/2024/Proposed%20Adjustments%20to%20SRP's%20Standard%20Price%20Plans%20Effective%20with%20the%20November%202025%20Billing%20Cycle_Web%5B91%5D.pdf"/>
    <hyperlink ref="E4" r:id="rId3" display="https://azcapitoltimes.com/news/2026/03/31/the-facts-about-srp-and-data-centers/"/>
    <hyperlink ref="E5" r:id="rId4" display="https://www.aps.com/en/Utility/Company-wide-Events-and-Messages/Data_Centers_How_Were_Protecting_Customers_While_Planning-for_Big_Energy_Needs"/>
    <hyperlink ref="E6" r:id="rId5" display="https://www.aps.com/en/Utility/Regulatory-and-Legal/Rate-case"/>
    <hyperlink ref="E7" r:id="rId6" display="https://www.kjzz.org/business/2026-07-29/data-centers-drive-half-of-aps-peak-demand-growth-this-year-compared-to-2025"/>
    <hyperlink ref="E8" r:id="rId7" display="https://www.azcc.gov/news/home/2026/01/21/acc-statement-on-applications-for-rehearing-re--tep-energy-supply-agreement"/>
    <hyperlink ref="E9" r:id="rId8" display="https://www.azcc.gov/news/home/2026/04/20/acc-large-load-data-center-workshop-highlights"/>
    <hyperlink ref="E10" r:id="rId9" display="https://www.eia.gov/electricity/monthly/epm_table_grapher.php?t=epmt_5_6_b"/>
    <hyperlink ref="E11" r:id="rId10" display="https://www.eia.gov/opendata/browser/electricity/retail-sales"/>
    <hyperlink ref="E12" r:id="rId11" display="https://www.eia.gov/electricity/gridmonitor/"/>
    <hyperlink ref="E13" r:id="rId12" display="https://www.eia.gov/electricity/data/eia860m/"/>
    <hyperlink ref="E14" r:id="rId13" display="http://oasis.caiso.com/"/>
    <hyperlink ref="E15" r:id="rId14" display="https://services1.arcgis.com/Hp6G80Pky0om7QvQ/arcgis/rest/services/Electric_Power_Transmission_Lines/FeatureServer/0"/>
    <hyperlink ref="E16" r:id="rId15" display="https://restservice.epri.com/publicdownload/000000003002028905/0/Product"/>
    <hyperlink ref="E17" r:id="rId16" display="https://restservice.epri.com/publicattachment/96784"/>
    <hyperlink ref="E18" r:id="rId17" display="https://eta-publications.lbl.gov/sites/default/files/2024-12/lbnl-2024-united-states-data-center-energy-usage-report_1.pdf"/>
    <hyperlink ref="E19" r:id="rId18" display="https://eta-publications.lbl.gov/sites/default/files/2025-10/presentation_retail_price_trends_drivers.pdf"/>
    <hyperlink ref="E20" r:id="rId19" display="https://www.sciencebase.gov/catalog/item/5af3311be4b0da30c1b245d8"/>
    <hyperlink ref="E21" r:id="rId20" display="https://arizonawaterfacts.com/water-your-facts"/>
    <hyperlink ref="E22" r:id="rId21" display="https://www.circleofblue.org/2025/supply/data-centers-a-small-but-growing-factor-in-arizonas-water-budget/"/>
    <hyperlink ref="E23" r:id="rId22" display="https://morrisoninstitute.asu.edu/sites/g/files/litvpz841/files/2025-09/Large-Volume%20Water%20User%20Ordinances%20090525_revised2.pdf"/>
    <hyperlink ref="E24" r:id="rId23" display="https://www.usbr.gov/ColoradoRiverBasin/post2026/"/>
    <hyperlink ref="E25" r:id="rId24" display="https://fred.stlouisfed.org/series/AZAGRNGSP"/>
    <hyperlink ref="E26" r:id="rId25" display="https://static1.squarespace.com/static/63a4849eab1c756a1d3e97b1/t/6a04986aac382850dcd9d637/1778686058456/Data+Center+Economic+Contribution+Study+2026_Final.pdf"/>
    <hyperlink ref="E27" r:id="rId26" display="https://static1.squarespace.com/static/63a4849eab1c756a1d3e97b1/t/663044d8d160b943d48f30bf/1714439385121/The+Impact+of+Data+Centers+on+the+Arizona+Economy.pdf"/>
    <hyperlink ref="E28" r:id="rId27" display="https://azdor.gov/sites/default/files/document/REPORTS_EXPENDITURES_2025_fy25-preliminary-tax-expenditure-report.pdf"/>
    <hyperlink ref="E29" r:id="rId28" display="https://azdor.gov/sites/default/files/document/TPT_RATETABLE_01012026.pdf"/>
    <hyperlink ref="E30" r:id="rId29" display="https://azdor.gov/transaction-privilege-tax/contracting-guidelines/contracting-faqs"/>
    <hyperlink ref="E31" r:id="rId30" display="https://www.maricopa.gov/DocumentCenter/View/123385/Tax-Rate-2026-PDF"/>
    <hyperlink ref="E32" r:id="rId31" display="https://www.azjlbc.gov/revenues/25taxbk.pdf"/>
    <hyperlink ref="E33" r:id="rId32" display="https://www.azleg.gov/ars/42/05029.htm"/>
    <hyperlink ref="E34" r:id="rId33" display="https://www.azleg.gov/ars/41/01519.htm"/>
    <hyperlink ref="E35" r:id="rId34" display="https://www.azleg.gov/ars/42/15001.htm"/>
    <hyperlink ref="E36" r:id="rId35" display="https://www.azleg.gov/legtext/55leg/2R/summary/S.2822COM.DOCX.htm"/>
    <hyperlink ref="E37" r:id="rId36" display="https://apps.azleg.gov/BillStatus/BillOverview/85758"/>
    <hyperlink ref="E38" r:id="rId37" display="https://apps.azleg.gov/BillStatus/BillOverview/84576"/>
    <hyperlink ref="E39" r:id="rId38" display="https://grandcanyoninstitute.org/research/budget/running-on-empty-federal-tax-package-conformity-leaves-1-billion-state-budget-deficit/"/>
    <hyperlink ref="E40" r:id="rId39" display="https://azgovernor.gov/office-arizona-governor/news/2026/01/governor-katie-hobbs-lays-out-plan-lower-costs-and-put-arizona"/>
    <hyperlink ref="E41" r:id="rId40" display="https://data.bls.gov/cew/data/api/2025/a/industry/518210.csv"/>
    <hyperlink ref="E42" r:id="rId41" display="https://data.bls.gov/cew/data/api/2025/a/industry/23.csv"/>
    <hyperlink ref="E43" r:id="rId42" display="https://www.jll.com/en-us/insights/market-outlook/data-center-outlook"/>
    <hyperlink ref="E44" r:id="rId43" display="https://ir.cushmanwakefield.com/news/press-release-details/2026/Cushman--Wakefield-Releases-2026-Data-Center-Development-Cost-Guide-Citing-21-Rise-in-Per-MW-Construction-Costs/default.aspx"/>
    <hyperlink ref="E45" r:id="rId44" display="https://www.tucsonaz.gov/files/sharedassets/public/v/1/government/city-manager-office/documents/project-blue-updated-fact-sheet_250714.pdf"/>
    <hyperlink ref="E46" r:id="rId45" display="https://content.civicplus.com/api/assets/2192e865-fe7e-48f4-8a0c-7c1c8b5cd32c"/>
    <hyperlink ref="E47" r:id="rId46" display="https://www.datacenterdynamics.com/en/news/mesa-council-approves-1bn-google-arizona-data-center-16m-tax-breaks/"/>
    <hyperlink ref="E48" r:id="rId47" display="https://www.census.gov/data/tables/time-series/demo/popest/2020s-state-total.html"/>
    <hyperlink ref="E49" r:id="rId48" display="https://www.census.gov/quickfacts/fact/table/AZ/HSD410224"/>
    <hyperlink ref="E50" r:id="rId49" display="https://www2.census.gov/geo/tiger/TIGER2024/SLDU/"/>
    <hyperlink ref="E51" r:id="rId50" display="https://www.azleg.gov/memberroster/"/>
    <hyperlink ref="E52" r:id="rId51" display="https://www.azauditor.gov/arizona-school-district-spending-analysis-and-data-file-fiscal-year-2025"/>
    <hyperlink ref="E53" r:id="rId52" display="https://www2.census.gov/programs-surveys/school-finances/tables/2024/secondary-education-finance/elsec24_sumtables.xlsx"/>
    <hyperlink ref="E54" r:id="rId53" display="https://www.onetonline.org/link/localwages/33-2011.00?st=AZ"/>
    <hyperlink ref="E55" r:id="rId54" display="https://www.psprs.com/employers-local-boards/contribution-rates-reporting/pension-plans/"/>
    <hyperlink ref="E56" r:id="rId55" display="https://www.kff.org/health-costs/2025-employer-health-benefits-survey/"/>
    <hyperlink ref="E57" r:id="rId56" display="https://www.bls.gov/news.release/union2.t05.htm"/>
    <hyperlink ref="E58" r:id="rId57" display="https://www.unionstats.com/state/states_index.html"/>
    <hyperlink ref="E59" r:id="rId58" display="https://www.smart-union.org/local-359-helps-secure-landmark-project-labor-agreement-jobs-for-members-in-arizona/"/>
    <hyperlink ref="E60" r:id="rId59" display="https://www.azleg.gov/ars/34/00321.htm"/>
    <hyperlink ref="E61" r:id="rId60" display="https://cleanview.co/data-centers/arizona"/>
    <hyperlink ref="E62" r:id="rId61" display="https://www.compute-atlas.com/states/arizona"/>
    <hyperlink ref="E63" r:id="rId62" display="https://www.aztechcouncil.org/microsoft-agrees-to-make-data-centers-air-cooled-amid-water-infrastructure-challenges-in-goodyear/"/>
    <hyperlink ref="E64" r:id="rId63" display="https://storage.googleapis.com/gweb-mobius-cdn/sustainability/uploads/699ac99c610bc554baaf80aef2d69cf0c5410c1a.pdf"/>
    <hyperlink ref="E65" r:id="rId64" display="https://www.datacenterdynamics.com/en/news/google-signs-480mw-ppa-in-arizona/"/>
    <hyperlink ref="E66" r:id="rId65" display="https://pinalpost.com/la-osa-data-center-where-does-the-100-million-actually-go/"/>
    <hyperlink ref="E67" r:id="rId66" display="https://www.axios.com/local/phoenix/2026/07/08/data-center-tax-break-applications-double-moratorium"/>
    <hyperlink ref="E68" r:id="rId67" display="https://www.kjzz.org/politics/2026-08-26/pinal-county-rejects-massive-la-osa-data-center-residents-want-more-rules-for-future-projects"/>
    <hyperlink ref="E69" r:id="rId68" display="https://taxfoundation.org/data/all/state/2026-sales-tax-rates-midyear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2026-09-24T15:05:35Z</dcterms:created>
  <dc:creator>Who Pays AZ</dc:creator>
  <dc:description/>
  <dc:language>en-US</dc:language>
  <cp:lastModifiedBy>Who Pays AZ</cp:lastModifiedBy>
  <dcterms:modified xsi:type="dcterms:W3CDTF">2026-09-24T15:05:35Z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